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120" windowWidth="9450" windowHeight="6735" tabRatio="634"/>
  </bookViews>
  <sheets>
    <sheet name="الكلفه  للسنوات" sheetId="38" r:id="rId1"/>
    <sheet name="مؤشرات" sheetId="21" r:id="rId2"/>
    <sheet name="مخطط المؤشرات" sheetId="43" r:id="rId3"/>
    <sheet name="دور السكن ج" sheetId="19" r:id="rId4"/>
    <sheet name="دور السكن م" sheetId="20" r:id="rId5"/>
    <sheet name="عمارات سكنيه ج و م" sheetId="25" r:id="rId6"/>
    <sheet name="عمارات تجاريه ج" sheetId="27" r:id="rId7"/>
    <sheet name="عمارات تجاريه م" sheetId="28" r:id="rId8"/>
    <sheet name="ابنيه صناعيه ج" sheetId="34" r:id="rId9"/>
    <sheet name="صناعي اضافة" sheetId="57" r:id="rId10"/>
    <sheet name="ابنيه تجاريه ج" sheetId="36" r:id="rId11"/>
    <sheet name="ابنيه تجاريه م" sheetId="37" r:id="rId12"/>
    <sheet name="ابنيه اجتماعيه ج" sheetId="30" r:id="rId13"/>
    <sheet name="ابنيه اجتماعيه م" sheetId="31" r:id="rId14"/>
    <sheet name="العاملين" sheetId="22" r:id="rId15"/>
    <sheet name="مخطط العاملين" sheetId="46" r:id="rId16"/>
    <sheet name="طابوق" sheetId="32" r:id="rId17"/>
    <sheet name="بلوك" sheetId="18" r:id="rId18"/>
    <sheet name="مخطط الطابوق والبلوك" sheetId="48" r:id="rId19"/>
    <sheet name="حجر" sheetId="13" r:id="rId20"/>
    <sheet name="حصى" sheetId="5" r:id="rId21"/>
    <sheet name="رمل" sheetId="7" r:id="rId22"/>
    <sheet name="مخطط الحصى" sheetId="50" r:id="rId23"/>
    <sheet name="سمنت" sheetId="29" r:id="rId24"/>
    <sheet name="جص" sheetId="6" r:id="rId25"/>
    <sheet name="مخطط الجص والاسمنت" sheetId="53" r:id="rId26"/>
    <sheet name="كاشي" sheetId="11" r:id="rId27"/>
    <sheet name="كاشي2" sheetId="12" r:id="rId28"/>
    <sheet name="مخطط الكاشي" sheetId="55" r:id="rId29"/>
    <sheet name="حديد" sheetId="24" r:id="rId30"/>
    <sheet name="ابواب" sheetId="2" r:id="rId31"/>
    <sheet name="شبابيك" sheetId="1" r:id="rId32"/>
    <sheet name="ت.كهربائيه1" sheetId="4" r:id="rId33"/>
    <sheet name="ت.كهربائيه2" sheetId="3" r:id="rId34"/>
    <sheet name="ت.صحيه1" sheetId="9" r:id="rId35"/>
    <sheet name="ت.صحيه2" sheetId="8" r:id="rId36"/>
    <sheet name="ت.صحيه3" sheetId="10" r:id="rId37"/>
    <sheet name="مواد انشائيه1" sheetId="17" r:id="rId38"/>
    <sheet name="مواد انشائيه2" sheetId="16" r:id="rId39"/>
    <sheet name="مواد انشائيه3" sheetId="15" r:id="rId40"/>
    <sheet name="مواد انشائيه4" sheetId="39" r:id="rId41"/>
    <sheet name="الكلفه الكليه" sheetId="23" r:id="rId42"/>
    <sheet name="Sheet3" sheetId="59" r:id="rId43"/>
    <sheet name="Sheet1" sheetId="56" r:id="rId44"/>
  </sheets>
  <definedNames>
    <definedName name="_xlnm.Print_Area" localSheetId="0">'الكلفه  للسنوات'!#REF!</definedName>
    <definedName name="_xlnm.Print_Area" localSheetId="6">'عمارات تجاريه ج'!$A$1:$K$26</definedName>
    <definedName name="_xlnm.Print_Area" localSheetId="7">'عمارات تجاريه م'!$A$1:$J$22</definedName>
    <definedName name="_xlnm.Print_Area" localSheetId="18">'مخطط الطابوق والبلوك'!$A$1:$M$29</definedName>
    <definedName name="_xlnm.Print_Area" localSheetId="40">'مواد انشائيه4'!$A$1:$K$27</definedName>
  </definedNames>
  <calcPr calcId="144525"/>
</workbook>
</file>

<file path=xl/calcChain.xml><?xml version="1.0" encoding="utf-8"?>
<calcChain xmlns="http://schemas.openxmlformats.org/spreadsheetml/2006/main">
  <c r="I9" i="39" l="1"/>
  <c r="I15" i="21"/>
  <c r="D22" i="23" l="1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7" i="23"/>
  <c r="B22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7" i="23"/>
  <c r="I24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22" i="39"/>
  <c r="I23" i="39"/>
  <c r="H24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22" i="39"/>
  <c r="H23" i="39"/>
  <c r="H9" i="39"/>
  <c r="E12" i="39"/>
  <c r="B24" i="39"/>
  <c r="C24" i="39"/>
  <c r="D24" i="39"/>
  <c r="E24" i="39"/>
  <c r="F24" i="39"/>
  <c r="G24" i="39"/>
  <c r="G24" i="8" l="1"/>
  <c r="C24" i="32"/>
  <c r="J23" i="27"/>
  <c r="C23" i="27"/>
  <c r="C22" i="23" l="1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8" i="22"/>
  <c r="H23" i="22" s="1"/>
  <c r="F23" i="22"/>
  <c r="D23" i="22"/>
  <c r="E13" i="22"/>
  <c r="B23" i="22"/>
  <c r="J23" i="22"/>
  <c r="G8" i="22"/>
  <c r="E8" i="22"/>
  <c r="C8" i="22"/>
  <c r="I8" i="22" l="1"/>
  <c r="K8" i="22" s="1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E22" i="22"/>
  <c r="E21" i="22"/>
  <c r="E20" i="22"/>
  <c r="E19" i="22"/>
  <c r="E18" i="22"/>
  <c r="E17" i="22"/>
  <c r="E16" i="22"/>
  <c r="E15" i="22"/>
  <c r="E14" i="22"/>
  <c r="E12" i="22"/>
  <c r="E11" i="22"/>
  <c r="E10" i="22"/>
  <c r="E9" i="22"/>
  <c r="C22" i="22"/>
  <c r="C21" i="22"/>
  <c r="I21" i="22" s="1"/>
  <c r="K21" i="22" s="1"/>
  <c r="C20" i="22"/>
  <c r="C19" i="22"/>
  <c r="C18" i="22"/>
  <c r="C17" i="22"/>
  <c r="C16" i="22"/>
  <c r="C15" i="22"/>
  <c r="C14" i="22"/>
  <c r="C13" i="22"/>
  <c r="C12" i="22"/>
  <c r="C11" i="22"/>
  <c r="C10" i="22"/>
  <c r="C9" i="22"/>
  <c r="G23" i="22" l="1"/>
  <c r="C23" i="22"/>
  <c r="E23" i="22"/>
  <c r="I15" i="22"/>
  <c r="K15" i="22" s="1"/>
  <c r="I17" i="22"/>
  <c r="K17" i="22" s="1"/>
  <c r="I13" i="22"/>
  <c r="K13" i="22" s="1"/>
  <c r="I14" i="22"/>
  <c r="K14" i="22" s="1"/>
  <c r="I16" i="22"/>
  <c r="K16" i="22" s="1"/>
  <c r="I18" i="22"/>
  <c r="K18" i="22" s="1"/>
  <c r="I22" i="22"/>
  <c r="K22" i="22" s="1"/>
  <c r="I20" i="22"/>
  <c r="K20" i="22" s="1"/>
  <c r="I19" i="22"/>
  <c r="K19" i="22" s="1"/>
  <c r="I11" i="22"/>
  <c r="K11" i="22" s="1"/>
  <c r="I10" i="22"/>
  <c r="K10" i="22" s="1"/>
  <c r="I12" i="22"/>
  <c r="K12" i="22" s="1"/>
  <c r="I9" i="22"/>
  <c r="D12" i="57"/>
  <c r="C12" i="57"/>
  <c r="B12" i="57"/>
  <c r="J24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9" i="12"/>
  <c r="I24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10" i="12"/>
  <c r="I9" i="12"/>
  <c r="F24" i="11"/>
  <c r="E24" i="11"/>
  <c r="C24" i="11"/>
  <c r="C12" i="11"/>
  <c r="C14" i="11"/>
  <c r="C15" i="11"/>
  <c r="C16" i="11"/>
  <c r="C20" i="11"/>
  <c r="C21" i="11"/>
  <c r="C23" i="11"/>
  <c r="I23" i="22" l="1"/>
  <c r="K9" i="22"/>
  <c r="K23" i="22" s="1"/>
  <c r="G23" i="8"/>
  <c r="E10" i="8"/>
  <c r="E9" i="8"/>
  <c r="I23" i="8"/>
  <c r="I20" i="8"/>
  <c r="I18" i="8"/>
  <c r="I17" i="8"/>
  <c r="I16" i="8"/>
  <c r="I15" i="8"/>
  <c r="I14" i="8"/>
  <c r="I13" i="8"/>
  <c r="I12" i="8"/>
  <c r="I11" i="8"/>
  <c r="I9" i="8"/>
  <c r="H24" i="8"/>
  <c r="I21" i="17"/>
  <c r="I20" i="17"/>
  <c r="I18" i="17"/>
  <c r="I17" i="17"/>
  <c r="I12" i="17"/>
  <c r="I10" i="17"/>
  <c r="H24" i="17"/>
  <c r="I23" i="16"/>
  <c r="I21" i="16"/>
  <c r="I19" i="16"/>
  <c r="I17" i="16"/>
  <c r="I16" i="16"/>
  <c r="I15" i="16"/>
  <c r="I14" i="16"/>
  <c r="I13" i="16"/>
  <c r="I11" i="16"/>
  <c r="I10" i="16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24" i="8" l="1"/>
  <c r="I24" i="17"/>
  <c r="I9" i="10" l="1"/>
  <c r="I24" i="10" s="1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9" i="10"/>
  <c r="H24" i="10" s="1"/>
  <c r="G20" i="8"/>
  <c r="G18" i="8"/>
  <c r="G17" i="8"/>
  <c r="G16" i="8"/>
  <c r="G15" i="8"/>
  <c r="G14" i="8"/>
  <c r="G13" i="8"/>
  <c r="G12" i="8"/>
  <c r="G11" i="8"/>
  <c r="G9" i="8"/>
  <c r="E22" i="8"/>
  <c r="E21" i="8"/>
  <c r="E20" i="8"/>
  <c r="E18" i="8"/>
  <c r="E17" i="8"/>
  <c r="E16" i="8"/>
  <c r="E15" i="8"/>
  <c r="E14" i="8"/>
  <c r="E23" i="10"/>
  <c r="E22" i="10"/>
  <c r="E21" i="10"/>
  <c r="E18" i="10"/>
  <c r="E16" i="10"/>
  <c r="E15" i="10"/>
  <c r="C22" i="10"/>
  <c r="C21" i="10"/>
  <c r="C20" i="10"/>
  <c r="C18" i="10"/>
  <c r="C17" i="10"/>
  <c r="C16" i="10"/>
  <c r="C14" i="10"/>
  <c r="C10" i="10"/>
  <c r="K24" i="9"/>
  <c r="K22" i="9"/>
  <c r="K21" i="9"/>
  <c r="K20" i="9"/>
  <c r="K19" i="9"/>
  <c r="K18" i="9"/>
  <c r="K17" i="9"/>
  <c r="K16" i="9"/>
  <c r="K15" i="9"/>
  <c r="K14" i="9"/>
  <c r="K12" i="9"/>
  <c r="K10" i="9"/>
  <c r="I22" i="9"/>
  <c r="I20" i="9"/>
  <c r="I17" i="9"/>
  <c r="I16" i="9"/>
  <c r="I15" i="9"/>
  <c r="I14" i="9"/>
  <c r="I11" i="9"/>
  <c r="I10" i="9"/>
  <c r="I9" i="9"/>
  <c r="G22" i="9"/>
  <c r="G21" i="9"/>
  <c r="G20" i="9"/>
  <c r="G19" i="9"/>
  <c r="G18" i="9"/>
  <c r="G16" i="9"/>
  <c r="G11" i="9"/>
  <c r="G10" i="9"/>
  <c r="G24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9" i="3"/>
  <c r="F24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9" i="3"/>
  <c r="E24" i="3"/>
  <c r="D24" i="3"/>
  <c r="C23" i="3"/>
  <c r="C22" i="3"/>
  <c r="C21" i="3"/>
  <c r="C20" i="3"/>
  <c r="C19" i="3"/>
  <c r="C17" i="3"/>
  <c r="C16" i="3"/>
  <c r="C15" i="3"/>
  <c r="C14" i="3"/>
  <c r="C12" i="3"/>
  <c r="C10" i="3"/>
  <c r="G18" i="4"/>
  <c r="G15" i="4"/>
  <c r="G24" i="12"/>
  <c r="E9" i="12"/>
  <c r="E15" i="12"/>
  <c r="C14" i="12"/>
  <c r="I15" i="11"/>
  <c r="E14" i="11"/>
  <c r="E13" i="11"/>
  <c r="E12" i="11"/>
  <c r="E11" i="11"/>
  <c r="E10" i="11"/>
  <c r="E9" i="11"/>
  <c r="E23" i="11"/>
  <c r="E21" i="11"/>
  <c r="E20" i="11"/>
  <c r="E18" i="11"/>
  <c r="E16" i="11"/>
  <c r="E19" i="6"/>
  <c r="C24" i="6"/>
  <c r="C15" i="6"/>
  <c r="C14" i="6"/>
  <c r="C13" i="6"/>
  <c r="E18" i="7"/>
  <c r="C23" i="7"/>
  <c r="E20" i="32"/>
  <c r="E24" i="32" s="1"/>
  <c r="E13" i="32"/>
  <c r="E12" i="32"/>
  <c r="E11" i="32"/>
  <c r="E24" i="12" l="1"/>
  <c r="E16" i="32" l="1"/>
  <c r="E15" i="32"/>
  <c r="C17" i="32"/>
  <c r="C12" i="32"/>
  <c r="G23" i="18"/>
  <c r="G16" i="18"/>
  <c r="G15" i="18"/>
  <c r="E16" i="13"/>
  <c r="C13" i="13"/>
  <c r="C21" i="5"/>
  <c r="C18" i="5"/>
  <c r="C21" i="12"/>
  <c r="C17" i="12"/>
  <c r="I21" i="4"/>
  <c r="G11" i="15"/>
  <c r="E22" i="9"/>
  <c r="E18" i="9"/>
  <c r="E15" i="9"/>
  <c r="C18" i="9"/>
  <c r="C16" i="9"/>
  <c r="K24" i="2"/>
  <c r="C17" i="2"/>
  <c r="G24" i="15"/>
  <c r="F24" i="15"/>
  <c r="E24" i="15"/>
  <c r="D24" i="15"/>
  <c r="C24" i="15"/>
  <c r="B24" i="15"/>
  <c r="G18" i="17"/>
  <c r="G19" i="17"/>
  <c r="G20" i="17"/>
  <c r="G21" i="17"/>
  <c r="G22" i="17"/>
  <c r="G23" i="17"/>
  <c r="G17" i="17"/>
  <c r="G16" i="17"/>
  <c r="G15" i="17"/>
  <c r="G14" i="17"/>
  <c r="G13" i="17"/>
  <c r="G12" i="17"/>
  <c r="G11" i="17"/>
  <c r="G10" i="17"/>
  <c r="G9" i="17"/>
  <c r="F24" i="17"/>
  <c r="E24" i="17"/>
  <c r="D24" i="17"/>
  <c r="C24" i="17"/>
  <c r="B24" i="17"/>
  <c r="K24" i="16"/>
  <c r="J24" i="16"/>
  <c r="I24" i="16"/>
  <c r="H24" i="16"/>
  <c r="G24" i="16"/>
  <c r="F24" i="16"/>
  <c r="G22" i="16"/>
  <c r="G20" i="16"/>
  <c r="G19" i="16"/>
  <c r="G18" i="16"/>
  <c r="G17" i="16"/>
  <c r="G16" i="16"/>
  <c r="G15" i="16"/>
  <c r="G14" i="16"/>
  <c r="G13" i="16"/>
  <c r="G12" i="16"/>
  <c r="G11" i="16"/>
  <c r="E24" i="16"/>
  <c r="E17" i="16"/>
  <c r="E21" i="16"/>
  <c r="E12" i="16"/>
  <c r="E11" i="16"/>
  <c r="D24" i="16"/>
  <c r="C9" i="16"/>
  <c r="C24" i="16"/>
  <c r="B24" i="16"/>
  <c r="C24" i="3"/>
  <c r="B24" i="3"/>
  <c r="I26" i="4"/>
  <c r="H26" i="4"/>
  <c r="G26" i="4"/>
  <c r="F26" i="4"/>
  <c r="E26" i="4"/>
  <c r="E24" i="4"/>
  <c r="E25" i="4"/>
  <c r="E23" i="4"/>
  <c r="E21" i="4"/>
  <c r="E22" i="4"/>
  <c r="E20" i="4"/>
  <c r="E19" i="4"/>
  <c r="E17" i="4"/>
  <c r="E18" i="4"/>
  <c r="E16" i="4"/>
  <c r="E12" i="4"/>
  <c r="E13" i="4"/>
  <c r="E14" i="4"/>
  <c r="E15" i="4"/>
  <c r="E11" i="4"/>
  <c r="D26" i="4"/>
  <c r="C26" i="4"/>
  <c r="B26" i="4"/>
  <c r="D24" i="8"/>
  <c r="E24" i="8"/>
  <c r="B24" i="8"/>
  <c r="C24" i="8"/>
  <c r="G24" i="10"/>
  <c r="F24" i="10"/>
  <c r="E24" i="10"/>
  <c r="D24" i="10"/>
  <c r="C24" i="10"/>
  <c r="B24" i="10"/>
  <c r="J24" i="9"/>
  <c r="I24" i="9"/>
  <c r="H24" i="9"/>
  <c r="G24" i="9"/>
  <c r="F24" i="9"/>
  <c r="D24" i="9"/>
  <c r="C24" i="9"/>
  <c r="B24" i="9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9" i="2"/>
  <c r="J24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9" i="2"/>
  <c r="I24" i="2"/>
  <c r="H24" i="2"/>
  <c r="G24" i="2"/>
  <c r="F24" i="2"/>
  <c r="E24" i="2"/>
  <c r="D24" i="2"/>
  <c r="C24" i="2"/>
  <c r="B24" i="2"/>
  <c r="I24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9" i="1"/>
  <c r="H2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9" i="1"/>
  <c r="G24" i="1"/>
  <c r="F24" i="1"/>
  <c r="E24" i="1"/>
  <c r="D24" i="1"/>
  <c r="C24" i="1"/>
  <c r="B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G24" i="17" l="1"/>
  <c r="E24" i="9"/>
  <c r="F24" i="12"/>
  <c r="D24" i="12"/>
  <c r="C24" i="12"/>
  <c r="B24" i="12"/>
  <c r="H24" i="11"/>
  <c r="D24" i="11"/>
  <c r="I24" i="11"/>
  <c r="G24" i="11"/>
  <c r="E24" i="24"/>
  <c r="D24" i="24"/>
  <c r="C24" i="24"/>
  <c r="B24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9" i="24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10" i="6"/>
  <c r="F25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10" i="6"/>
  <c r="D25" i="6"/>
  <c r="B25" i="6"/>
  <c r="E25" i="6"/>
  <c r="C25" i="6"/>
  <c r="I24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9" i="29"/>
  <c r="H24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9" i="29"/>
  <c r="F24" i="29"/>
  <c r="D24" i="29"/>
  <c r="B24" i="29"/>
  <c r="G24" i="29"/>
  <c r="E24" i="29"/>
  <c r="C24" i="29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10" i="7"/>
  <c r="F25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10" i="7"/>
  <c r="E25" i="7"/>
  <c r="D25" i="7"/>
  <c r="C25" i="7"/>
  <c r="B25" i="7"/>
  <c r="G12" i="5"/>
  <c r="G13" i="5"/>
  <c r="G14" i="5"/>
  <c r="G15" i="5"/>
  <c r="G16" i="5"/>
  <c r="G17" i="5"/>
  <c r="G18" i="5"/>
  <c r="G26" i="5" s="1"/>
  <c r="G19" i="5"/>
  <c r="G20" i="5"/>
  <c r="G21" i="5"/>
  <c r="G22" i="5"/>
  <c r="G23" i="5"/>
  <c r="G24" i="5"/>
  <c r="G25" i="5"/>
  <c r="G11" i="5"/>
  <c r="F26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11" i="5"/>
  <c r="C26" i="5"/>
  <c r="D26" i="5"/>
  <c r="B26" i="5"/>
  <c r="G11" i="13"/>
  <c r="G12" i="13"/>
  <c r="G13" i="13"/>
  <c r="G14" i="13"/>
  <c r="G15" i="13"/>
  <c r="G16" i="13"/>
  <c r="G17" i="13" s="1"/>
  <c r="G10" i="13"/>
  <c r="F17" i="13"/>
  <c r="F11" i="13"/>
  <c r="F12" i="13"/>
  <c r="F13" i="13"/>
  <c r="F14" i="13"/>
  <c r="F15" i="13"/>
  <c r="F16" i="13"/>
  <c r="F10" i="13"/>
  <c r="D17" i="13"/>
  <c r="E17" i="13"/>
  <c r="B17" i="13"/>
  <c r="C17" i="13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9" i="18"/>
  <c r="H24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9" i="18"/>
  <c r="F24" i="18"/>
  <c r="D24" i="18"/>
  <c r="B24" i="18"/>
  <c r="G24" i="18"/>
  <c r="E24" i="18"/>
  <c r="C24" i="18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9" i="32"/>
  <c r="J24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9" i="32"/>
  <c r="I24" i="32"/>
  <c r="F24" i="24" l="1"/>
  <c r="G24" i="24"/>
  <c r="G25" i="6"/>
  <c r="G25" i="7"/>
  <c r="K24" i="32"/>
  <c r="I24" i="18"/>
  <c r="J9" i="21"/>
  <c r="E24" i="20"/>
  <c r="C19" i="30" l="1"/>
  <c r="G11" i="25"/>
  <c r="H15" i="21" l="1"/>
  <c r="J15" i="21"/>
  <c r="G15" i="21"/>
  <c r="F15" i="21"/>
  <c r="E15" i="21"/>
  <c r="D15" i="21"/>
  <c r="C15" i="21"/>
  <c r="K14" i="21"/>
  <c r="J14" i="21"/>
  <c r="I14" i="21"/>
  <c r="K13" i="21"/>
  <c r="J13" i="21"/>
  <c r="I13" i="21"/>
  <c r="K12" i="21"/>
  <c r="J12" i="21"/>
  <c r="I12" i="21"/>
  <c r="K11" i="21"/>
  <c r="J11" i="21"/>
  <c r="I11" i="21"/>
  <c r="C17" i="34"/>
  <c r="K10" i="21"/>
  <c r="J10" i="21"/>
  <c r="I10" i="21"/>
  <c r="K9" i="21"/>
  <c r="I9" i="21"/>
  <c r="F24" i="19"/>
  <c r="I20" i="36"/>
  <c r="H20" i="36"/>
  <c r="G20" i="36"/>
  <c r="F20" i="36"/>
  <c r="E20" i="36"/>
  <c r="D20" i="36"/>
  <c r="C20" i="36"/>
  <c r="B20" i="36"/>
  <c r="H17" i="34"/>
  <c r="G17" i="34"/>
  <c r="F17" i="34"/>
  <c r="E17" i="34"/>
  <c r="D17" i="34"/>
  <c r="F24" i="20"/>
  <c r="D24" i="20"/>
  <c r="C24" i="20"/>
  <c r="B24" i="20"/>
  <c r="F14" i="31"/>
  <c r="E14" i="31"/>
  <c r="D14" i="31"/>
  <c r="C14" i="31"/>
  <c r="G19" i="30"/>
  <c r="F19" i="30"/>
  <c r="E19" i="30"/>
  <c r="D19" i="30"/>
  <c r="K15" i="21" l="1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</calcChain>
</file>

<file path=xl/comments1.xml><?xml version="1.0" encoding="utf-8"?>
<comments xmlns="http://schemas.openxmlformats.org/spreadsheetml/2006/main">
  <authors>
    <author>ammar</author>
  </authors>
  <commentList>
    <comment ref="E24" authorId="0">
      <text>
        <r>
          <rPr>
            <b/>
            <sz val="9"/>
            <color indexed="81"/>
            <rFont val="Tahoma"/>
            <family val="2"/>
          </rPr>
          <t>ammar: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<sst xmlns="http://schemas.openxmlformats.org/spreadsheetml/2006/main" count="2043" uniqueCount="511">
  <si>
    <t>المجموع</t>
  </si>
  <si>
    <t>Total</t>
  </si>
  <si>
    <t>صلاح الدين</t>
  </si>
  <si>
    <t>ديالى</t>
  </si>
  <si>
    <t>بغداد</t>
  </si>
  <si>
    <t>بابل</t>
  </si>
  <si>
    <t>كربلاء</t>
  </si>
  <si>
    <t>النجف</t>
  </si>
  <si>
    <t>القادسية</t>
  </si>
  <si>
    <t>المثنى</t>
  </si>
  <si>
    <t>ذي قار</t>
  </si>
  <si>
    <t>واسط</t>
  </si>
  <si>
    <t>ميسان</t>
  </si>
  <si>
    <t>البصرة</t>
  </si>
  <si>
    <t>Salah AL-Deen</t>
  </si>
  <si>
    <t>Diala</t>
  </si>
  <si>
    <t>Baghdad</t>
  </si>
  <si>
    <t>Al-Najaf</t>
  </si>
  <si>
    <t>Al-Qadisiya</t>
  </si>
  <si>
    <t>Al-Muthanna</t>
  </si>
  <si>
    <t>Thi-Qar</t>
  </si>
  <si>
    <t>Wasit</t>
  </si>
  <si>
    <t>Basrah</t>
  </si>
  <si>
    <t>Babylon</t>
  </si>
  <si>
    <t>Kerbela</t>
  </si>
  <si>
    <t>Maysan</t>
  </si>
  <si>
    <t>Governorate</t>
  </si>
  <si>
    <t>العدد</t>
  </si>
  <si>
    <t>Number</t>
  </si>
  <si>
    <t xml:space="preserve">Cost </t>
  </si>
  <si>
    <t>كركوك</t>
  </si>
  <si>
    <t>Karkuk</t>
  </si>
  <si>
    <t>المادة: تأسيسات كهربائية</t>
  </si>
  <si>
    <t>بوري</t>
  </si>
  <si>
    <t>سنك</t>
  </si>
  <si>
    <t>حمام كامل ملون</t>
  </si>
  <si>
    <t>طن</t>
  </si>
  <si>
    <t>سركت بريكر</t>
  </si>
  <si>
    <t>خشبية</t>
  </si>
  <si>
    <t>حديدية</t>
  </si>
  <si>
    <t>المنيوم</t>
  </si>
  <si>
    <t>انابيب بلاستيكية</t>
  </si>
  <si>
    <t>م</t>
  </si>
  <si>
    <t>m</t>
  </si>
  <si>
    <t>عادي</t>
  </si>
  <si>
    <t>فني</t>
  </si>
  <si>
    <t>بلكات</t>
  </si>
  <si>
    <t>مشطفة</t>
  </si>
  <si>
    <t>سويج رئيسي</t>
  </si>
  <si>
    <t>سويجات</t>
  </si>
  <si>
    <t>المحافظـة</t>
  </si>
  <si>
    <t>المحافظـــة</t>
  </si>
  <si>
    <t>المحافظــــة</t>
  </si>
  <si>
    <t>Table (16)</t>
  </si>
  <si>
    <t>المحافظة</t>
  </si>
  <si>
    <t xml:space="preserve">منهول </t>
  </si>
  <si>
    <t xml:space="preserve">خزان ماء </t>
  </si>
  <si>
    <t>انابيب آهين</t>
  </si>
  <si>
    <t>المحافظــة</t>
  </si>
  <si>
    <t>فرفوري</t>
  </si>
  <si>
    <t>موزائيك</t>
  </si>
  <si>
    <t>موزائيك صب موقعي</t>
  </si>
  <si>
    <t>مرمر</t>
  </si>
  <si>
    <t>سيراميك</t>
  </si>
  <si>
    <t>شتايكر</t>
  </si>
  <si>
    <t>صبات درج</t>
  </si>
  <si>
    <t>خشب</t>
  </si>
  <si>
    <t>عدد</t>
  </si>
  <si>
    <t>لتر</t>
  </si>
  <si>
    <t>لباد</t>
  </si>
  <si>
    <t>مبيد حشرات</t>
  </si>
  <si>
    <t>مانع الرطوبة</t>
  </si>
  <si>
    <t>قير</t>
  </si>
  <si>
    <t>زجاج</t>
  </si>
  <si>
    <t>Table (3)</t>
  </si>
  <si>
    <t>عدد الغرف</t>
  </si>
  <si>
    <t xml:space="preserve">عدد الدكاكين </t>
  </si>
  <si>
    <t>مساحة العرصة</t>
  </si>
  <si>
    <t>مساحة البناء</t>
  </si>
  <si>
    <t>الكلفة التخمينية</t>
  </si>
  <si>
    <t>المحافظــــــــة</t>
  </si>
  <si>
    <t>مساحة البناء (م²)</t>
  </si>
  <si>
    <t xml:space="preserve">الكلفة التخمينية  </t>
  </si>
  <si>
    <t>جديـــــــــــــــــــــــد</t>
  </si>
  <si>
    <t xml:space="preserve">إضافــــــــــــــــــــــــة </t>
  </si>
  <si>
    <t>Table( 2 )</t>
  </si>
  <si>
    <t>Cost</t>
  </si>
  <si>
    <t>Table (15)</t>
  </si>
  <si>
    <t>عمال غير ماهرين</t>
  </si>
  <si>
    <t>عمال شبه ماهرين</t>
  </si>
  <si>
    <t>عمال ماهرين</t>
  </si>
  <si>
    <t>Unskilled Workers</t>
  </si>
  <si>
    <t>Semi Skilled Workers</t>
  </si>
  <si>
    <t>Skilled Workers</t>
  </si>
  <si>
    <t>الاجور</t>
  </si>
  <si>
    <t>Wages</t>
  </si>
  <si>
    <t>جدول رقم (17)</t>
  </si>
  <si>
    <t>Table (17)</t>
  </si>
  <si>
    <t>قيمة المواد الانشائية</t>
  </si>
  <si>
    <t>الأجور المدفوعة</t>
  </si>
  <si>
    <t>الكلفة الكلية</t>
  </si>
  <si>
    <t>Paid wages</t>
  </si>
  <si>
    <t>شيش</t>
  </si>
  <si>
    <t xml:space="preserve">طن </t>
  </si>
  <si>
    <t>Table ( 5 )</t>
  </si>
  <si>
    <t>عدد الطوابق</t>
  </si>
  <si>
    <t>عدد الشقق</t>
  </si>
  <si>
    <t>عدد الدكاكين</t>
  </si>
  <si>
    <t>Table ( 6 )</t>
  </si>
  <si>
    <t>TOTAL</t>
  </si>
  <si>
    <t>Table ( 7 )</t>
  </si>
  <si>
    <t>Table ( 8 )</t>
  </si>
  <si>
    <t>مقاوم</t>
  </si>
  <si>
    <t>ابيض</t>
  </si>
  <si>
    <t>Table (13)</t>
  </si>
  <si>
    <t>جدول رقم ( 14 )</t>
  </si>
  <si>
    <t xml:space="preserve">Table( 14 ) </t>
  </si>
  <si>
    <t>Bricks</t>
  </si>
  <si>
    <t>عدد المعامل</t>
  </si>
  <si>
    <t>مساحة العرصة (م²)</t>
  </si>
  <si>
    <t xml:space="preserve">  مساحة البناء (  م²)</t>
  </si>
  <si>
    <t>Table ( 11 )</t>
  </si>
  <si>
    <t xml:space="preserve"> جدول ( 12 )</t>
  </si>
  <si>
    <t xml:space="preserve"> Table ( 12 )</t>
  </si>
  <si>
    <t xml:space="preserve">     الكلفة التخمينية   </t>
  </si>
  <si>
    <t xml:space="preserve">الكلفة التخمينية </t>
  </si>
  <si>
    <t xml:space="preserve">  الكلفة التخمينية  </t>
  </si>
  <si>
    <t xml:space="preserve">    الكلفة التخمينية       </t>
  </si>
  <si>
    <t xml:space="preserve">       الكلفة التخمينية            </t>
  </si>
  <si>
    <t xml:space="preserve">الكلفة التخمينية           </t>
  </si>
  <si>
    <t>L</t>
  </si>
  <si>
    <t>(000 I.D.)</t>
  </si>
  <si>
    <t>m²</t>
  </si>
  <si>
    <t>No.</t>
  </si>
  <si>
    <t>m³</t>
  </si>
  <si>
    <t>ton</t>
  </si>
  <si>
    <t xml:space="preserve">Area of Land    </t>
  </si>
  <si>
    <t xml:space="preserve">Area of Building </t>
  </si>
  <si>
    <t xml:space="preserve">Area of Land </t>
  </si>
  <si>
    <t xml:space="preserve">Est. Cost </t>
  </si>
  <si>
    <t xml:space="preserve">      Est. Cost</t>
  </si>
  <si>
    <t>المحافظه</t>
  </si>
  <si>
    <t xml:space="preserve">Building Area </t>
  </si>
  <si>
    <t xml:space="preserve">Land Area </t>
  </si>
  <si>
    <t xml:space="preserve">المحافظــــــــة        </t>
  </si>
  <si>
    <t>Shops</t>
  </si>
  <si>
    <t xml:space="preserve"> Shops</t>
  </si>
  <si>
    <t xml:space="preserve">Est.Cost </t>
  </si>
  <si>
    <t>Stone</t>
  </si>
  <si>
    <t>New Building</t>
  </si>
  <si>
    <t>بناء جديد</t>
  </si>
  <si>
    <t>irons</t>
  </si>
  <si>
    <t>Flats</t>
  </si>
  <si>
    <t>New building</t>
  </si>
  <si>
    <t>New buildings</t>
  </si>
  <si>
    <t xml:space="preserve">خشب صاج    </t>
  </si>
  <si>
    <t xml:space="preserve">خشب جام           </t>
  </si>
  <si>
    <t>Ton</t>
  </si>
  <si>
    <t>Eest.Cost</t>
  </si>
  <si>
    <t>New</t>
  </si>
  <si>
    <t>Rooms</t>
  </si>
  <si>
    <t xml:space="preserve">     No.</t>
  </si>
  <si>
    <t xml:space="preserve">   No.</t>
  </si>
  <si>
    <t xml:space="preserve"> شبابيك</t>
  </si>
  <si>
    <t>Aluminum</t>
  </si>
  <si>
    <t>Wire</t>
  </si>
  <si>
    <t>Wood Jam</t>
  </si>
  <si>
    <t>Iron</t>
  </si>
  <si>
    <t>Normal</t>
  </si>
  <si>
    <t>Art</t>
  </si>
  <si>
    <t>Water tank</t>
  </si>
  <si>
    <t>Glass</t>
  </si>
  <si>
    <t>Taps</t>
  </si>
  <si>
    <t xml:space="preserve">تراب         </t>
  </si>
  <si>
    <t xml:space="preserve"> جص</t>
  </si>
  <si>
    <t xml:space="preserve"> تأسيسات صحية            </t>
  </si>
  <si>
    <t xml:space="preserve"> تأسيسات صحية</t>
  </si>
  <si>
    <t xml:space="preserve"> مواد انشائية اخرى</t>
  </si>
  <si>
    <t>Other Constructions Material</t>
  </si>
  <si>
    <t xml:space="preserve"> بلوك        </t>
  </si>
  <si>
    <t xml:space="preserve"> طابوق</t>
  </si>
  <si>
    <t xml:space="preserve"> تأسيسات كهربائية</t>
  </si>
  <si>
    <t xml:space="preserve">        أبواب</t>
  </si>
  <si>
    <t>حصى</t>
  </si>
  <si>
    <t xml:space="preserve"> رمل</t>
  </si>
  <si>
    <t>Sand</t>
  </si>
  <si>
    <t>Table ( 9 )</t>
  </si>
  <si>
    <t xml:space="preserve">Residential </t>
  </si>
  <si>
    <t>Social Purposes</t>
  </si>
  <si>
    <t>السنه</t>
  </si>
  <si>
    <t>دكتات</t>
  </si>
  <si>
    <t>cost</t>
  </si>
  <si>
    <t>هايرب</t>
  </si>
  <si>
    <t xml:space="preserve">المجمـــوع    </t>
  </si>
  <si>
    <t>م²</t>
  </si>
  <si>
    <t>n.</t>
  </si>
  <si>
    <t>الكلفة التخمينيه</t>
  </si>
  <si>
    <t xml:space="preserve">Table 16 </t>
  </si>
  <si>
    <t xml:space="preserve"> تابع جدول رقم (16)</t>
  </si>
  <si>
    <t>cement</t>
  </si>
  <si>
    <t>مساحة العرصة (م)²</t>
  </si>
  <si>
    <t>م³</t>
  </si>
  <si>
    <t>تاسيسات صحية</t>
  </si>
  <si>
    <t>فلنتكـوت عازل</t>
  </si>
  <si>
    <t>عدد الدور المشيده (الف)</t>
  </si>
  <si>
    <t xml:space="preserve"> العمارات السكنيه(عدد) </t>
  </si>
  <si>
    <t>NO.</t>
  </si>
  <si>
    <t>Table(1 )</t>
  </si>
  <si>
    <t>مساحة البناء م²</t>
  </si>
  <si>
    <t>مكسر</t>
  </si>
  <si>
    <t>اسود</t>
  </si>
  <si>
    <t>احمر</t>
  </si>
  <si>
    <t>Ceramics</t>
  </si>
  <si>
    <t>Steiger</t>
  </si>
  <si>
    <t>العدد : بالالف</t>
  </si>
  <si>
    <t>الكلفه:الف دينار</t>
  </si>
  <si>
    <r>
      <t>مساحة العرصة (م</t>
    </r>
    <r>
      <rPr>
        <b/>
        <sz val="11"/>
        <rFont val="Calibri"/>
        <family val="2"/>
      </rPr>
      <t>²)</t>
    </r>
  </si>
  <si>
    <t xml:space="preserve">  الكلفة التخمينية        </t>
  </si>
  <si>
    <t>الاجور:الف دينار</t>
  </si>
  <si>
    <t xml:space="preserve">      عادي</t>
  </si>
  <si>
    <t xml:space="preserve">      عقاري</t>
  </si>
  <si>
    <t xml:space="preserve">     جمهوري</t>
  </si>
  <si>
    <t xml:space="preserve">     حجم كبير</t>
  </si>
  <si>
    <t xml:space="preserve">   حجم متوسط</t>
  </si>
  <si>
    <t xml:space="preserve">    حجم صغير</t>
  </si>
  <si>
    <t xml:space="preserve">Small size   </t>
  </si>
  <si>
    <t xml:space="preserve">     المجموع</t>
  </si>
  <si>
    <t xml:space="preserve">Total      </t>
  </si>
  <si>
    <t xml:space="preserve">       مقطع</t>
  </si>
  <si>
    <t xml:space="preserve">        خام</t>
  </si>
  <si>
    <t xml:space="preserve">Raw       </t>
  </si>
  <si>
    <t xml:space="preserve">      المجموع</t>
  </si>
  <si>
    <t xml:space="preserve">Total         </t>
  </si>
  <si>
    <t>حجر</t>
  </si>
  <si>
    <t xml:space="preserve">Meduim size   </t>
  </si>
  <si>
    <r>
      <t>م</t>
    </r>
    <r>
      <rPr>
        <b/>
        <sz val="11"/>
        <rFont val="Calibri"/>
        <family val="2"/>
      </rPr>
      <t>²</t>
    </r>
  </si>
  <si>
    <r>
      <t>m</t>
    </r>
    <r>
      <rPr>
        <b/>
        <sz val="11"/>
        <rFont val="Calibri"/>
        <family val="2"/>
      </rPr>
      <t>²</t>
    </r>
  </si>
  <si>
    <t xml:space="preserve">      شيلمان</t>
  </si>
  <si>
    <t>الكلفة</t>
  </si>
  <si>
    <t>كلفة</t>
  </si>
  <si>
    <t xml:space="preserve"> الكلفة</t>
  </si>
  <si>
    <t xml:space="preserve">     الكلفة                    </t>
  </si>
  <si>
    <t xml:space="preserve">       سلك</t>
  </si>
  <si>
    <t xml:space="preserve">     مراحيض</t>
  </si>
  <si>
    <t xml:space="preserve">Toilets     </t>
  </si>
  <si>
    <t xml:space="preserve">       بانيو</t>
  </si>
  <si>
    <t xml:space="preserve">     مغاسل</t>
  </si>
  <si>
    <r>
      <t>م</t>
    </r>
    <r>
      <rPr>
        <b/>
        <sz val="11"/>
        <rFont val="Aharoni"/>
        <charset val="177"/>
      </rPr>
      <t>²</t>
    </r>
  </si>
  <si>
    <r>
      <t>m</t>
    </r>
    <r>
      <rPr>
        <b/>
        <sz val="11"/>
        <rFont val="Aharoni"/>
        <charset val="177"/>
      </rPr>
      <t>²</t>
    </r>
  </si>
  <si>
    <r>
      <t>م</t>
    </r>
    <r>
      <rPr>
        <b/>
        <sz val="11"/>
        <rFont val="Aharoni"/>
        <charset val="177"/>
      </rPr>
      <t>³</t>
    </r>
  </si>
  <si>
    <r>
      <t>m</t>
    </r>
    <r>
      <rPr>
        <b/>
        <sz val="11"/>
        <rFont val="Aharoni"/>
        <charset val="177"/>
      </rPr>
      <t>³</t>
    </r>
  </si>
  <si>
    <r>
      <t>m</t>
    </r>
    <r>
      <rPr>
        <b/>
        <sz val="11"/>
        <rFont val="Calibri"/>
        <family val="2"/>
      </rPr>
      <t>³</t>
    </r>
  </si>
  <si>
    <t xml:space="preserve">   سقوف ثانويه</t>
  </si>
  <si>
    <t xml:space="preserve">   شبابيك الدكتات</t>
  </si>
  <si>
    <t>Republican</t>
  </si>
  <si>
    <t>Real Estate</t>
  </si>
  <si>
    <t>Metal</t>
  </si>
  <si>
    <t>pluge</t>
  </si>
  <si>
    <t>Herp</t>
  </si>
  <si>
    <t>Dust</t>
  </si>
  <si>
    <t>Secondary ceilings</t>
  </si>
  <si>
    <t xml:space="preserve">         كتائب الشبابيك</t>
  </si>
  <si>
    <t>Resistant</t>
  </si>
  <si>
    <t xml:space="preserve">Bath tub    </t>
  </si>
  <si>
    <t>Snik</t>
  </si>
  <si>
    <t>Rubber</t>
  </si>
  <si>
    <t xml:space="preserve">دور سكن  </t>
  </si>
  <si>
    <t xml:space="preserve">Dwelling </t>
  </si>
  <si>
    <t xml:space="preserve">العمارات السكنية </t>
  </si>
  <si>
    <t xml:space="preserve">العمارات التجارية </t>
  </si>
  <si>
    <t>Commercial</t>
  </si>
  <si>
    <t xml:space="preserve">أبنية  صناعية  </t>
  </si>
  <si>
    <t>Industrial</t>
  </si>
  <si>
    <t xml:space="preserve">أبنية  تجارية </t>
  </si>
  <si>
    <t>أبنية اجتماعية</t>
  </si>
  <si>
    <t xml:space="preserve">المجموع     </t>
  </si>
  <si>
    <t>انواع البناء</t>
  </si>
  <si>
    <t xml:space="preserve">con. ( 16 )              Other constuction material                                           </t>
  </si>
  <si>
    <t xml:space="preserve">     قيمه المواد الانشائيه(مليون)</t>
  </si>
  <si>
    <t>الكلفة الكلية (مليون )</t>
  </si>
  <si>
    <t xml:space="preserve"> الاجور المدفوعه    (مليون)</t>
  </si>
  <si>
    <t xml:space="preserve"> بلاط الارضية     (كاشي)</t>
  </si>
  <si>
    <t>Million</t>
  </si>
  <si>
    <t>Thrmeston</t>
  </si>
  <si>
    <t>Grit</t>
  </si>
  <si>
    <t>Marble</t>
  </si>
  <si>
    <t>Mosaic</t>
  </si>
  <si>
    <t>Floor tile</t>
  </si>
  <si>
    <t xml:space="preserve">Mosaic </t>
  </si>
  <si>
    <t xml:space="preserve">cost </t>
  </si>
  <si>
    <t>Tar</t>
  </si>
  <si>
    <t>Duct</t>
  </si>
  <si>
    <t>Insecticide</t>
  </si>
  <si>
    <t>Flintcoat</t>
  </si>
  <si>
    <t>Duct windows</t>
  </si>
  <si>
    <t>Cast iron</t>
  </si>
  <si>
    <t>Wooden</t>
  </si>
  <si>
    <t>Tube</t>
  </si>
  <si>
    <t>Key</t>
  </si>
  <si>
    <t>Keys</t>
  </si>
  <si>
    <t>Washbasin</t>
  </si>
  <si>
    <t>Keyhole</t>
  </si>
  <si>
    <t>Bidet</t>
  </si>
  <si>
    <t>Slighted tubes</t>
  </si>
  <si>
    <t xml:space="preserve">Colored Bathroom </t>
  </si>
  <si>
    <t>Factories</t>
  </si>
  <si>
    <t>Addition</t>
  </si>
  <si>
    <t xml:space="preserve">  Rooms</t>
  </si>
  <si>
    <t>Red</t>
  </si>
  <si>
    <t>Black</t>
  </si>
  <si>
    <t>White</t>
  </si>
  <si>
    <t>Wood saj</t>
  </si>
  <si>
    <t>Wood</t>
  </si>
  <si>
    <t>Moisture Anti</t>
  </si>
  <si>
    <t xml:space="preserve">Big size   </t>
  </si>
  <si>
    <t xml:space="preserve">Broken    </t>
  </si>
  <si>
    <t>Broken</t>
  </si>
  <si>
    <t>أضافات البناء</t>
  </si>
  <si>
    <t>العدد : الف طابوقه</t>
  </si>
  <si>
    <t>الكلفه : الف دينار</t>
  </si>
  <si>
    <t>العدد : الف بلوكه</t>
  </si>
  <si>
    <t>Conclusively   cycle</t>
  </si>
  <si>
    <t xml:space="preserve">الكلفة : الف دينار </t>
  </si>
  <si>
    <t>Dwellings Built</t>
  </si>
  <si>
    <t>AverageNumber of Employees</t>
  </si>
  <si>
    <t>Value ​​of Construction materials</t>
  </si>
  <si>
    <t>Residential Buildings</t>
  </si>
  <si>
    <t>WagesPaid</t>
  </si>
  <si>
    <t>Type of  Building</t>
  </si>
  <si>
    <t xml:space="preserve">New Dwellings </t>
  </si>
  <si>
    <t>Table (4)   Additions</t>
  </si>
  <si>
    <t>Flour</t>
  </si>
  <si>
    <t>Additions</t>
  </si>
  <si>
    <t xml:space="preserve">  Cement Bricks</t>
  </si>
  <si>
    <t xml:space="preserve">Con. ( 16)  </t>
  </si>
  <si>
    <t>Con. (16)</t>
  </si>
  <si>
    <t>Plaster</t>
  </si>
  <si>
    <t>Floor Tile</t>
  </si>
  <si>
    <t xml:space="preserve">Con. ( 16)        </t>
  </si>
  <si>
    <t>FollowingTable ( 16 )</t>
  </si>
  <si>
    <t>Con. (16)         Doors</t>
  </si>
  <si>
    <t xml:space="preserve">Con. (16) </t>
  </si>
  <si>
    <t>Windows</t>
  </si>
  <si>
    <t>Electrical Enstallation</t>
  </si>
  <si>
    <t>Sanitary Enstallation</t>
  </si>
  <si>
    <t xml:space="preserve">         Plastic Tubes</t>
  </si>
  <si>
    <t>Steps to Staires</t>
  </si>
  <si>
    <t>Frame For Windows</t>
  </si>
  <si>
    <t>TotalCost</t>
  </si>
  <si>
    <t>Value of construction Materials</t>
  </si>
  <si>
    <t xml:space="preserve"> year</t>
  </si>
  <si>
    <t>Est.Cost</t>
  </si>
  <si>
    <t xml:space="preserve">Con.  (16) </t>
  </si>
  <si>
    <t>7.158.371</t>
  </si>
  <si>
    <t>6.603.278</t>
  </si>
  <si>
    <t>Thousand</t>
  </si>
  <si>
    <t>Porcelain</t>
  </si>
  <si>
    <t>Total Cost</t>
  </si>
  <si>
    <t xml:space="preserve">الانبار </t>
  </si>
  <si>
    <t>Al-Anbar</t>
  </si>
  <si>
    <t xml:space="preserve">عدد الابنية الثقافية </t>
  </si>
  <si>
    <t xml:space="preserve">المجموع </t>
  </si>
  <si>
    <t xml:space="preserve">البصرة </t>
  </si>
  <si>
    <t xml:space="preserve">عدد الطوابق </t>
  </si>
  <si>
    <t xml:space="preserve">عدد الغرف </t>
  </si>
  <si>
    <t>الانبار</t>
  </si>
  <si>
    <t xml:space="preserve">مجموع الكميات </t>
  </si>
  <si>
    <t xml:space="preserve">                                                                                                                                                                                                          </t>
  </si>
  <si>
    <t xml:space="preserve">   </t>
  </si>
  <si>
    <t xml:space="preserve">                                               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</si>
  <si>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</si>
  <si>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</si>
  <si>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</t>
  </si>
  <si>
    <t>انابيب بوري</t>
  </si>
  <si>
    <t>1.932.360</t>
  </si>
  <si>
    <t>1.962.888</t>
  </si>
  <si>
    <t>1.231.567</t>
  </si>
  <si>
    <t>1.297.872</t>
  </si>
  <si>
    <t xml:space="preserve">العدد </t>
  </si>
  <si>
    <t xml:space="preserve"> عدد</t>
  </si>
  <si>
    <t>نينوى</t>
  </si>
  <si>
    <t>Ninawa</t>
  </si>
  <si>
    <t>Salah- ALDeen</t>
  </si>
  <si>
    <t>عدد الابنيه الصناعيه</t>
  </si>
  <si>
    <t>عدد الفنادق</t>
  </si>
  <si>
    <t>عدد المطاعم</t>
  </si>
  <si>
    <t>عدد الكازينوات</t>
  </si>
  <si>
    <t>Hotels</t>
  </si>
  <si>
    <t>Restaurants</t>
  </si>
  <si>
    <t>Casinos</t>
  </si>
  <si>
    <t>ابنية تجارية اخرى</t>
  </si>
  <si>
    <t>Building</t>
  </si>
  <si>
    <t>Other Commercil</t>
  </si>
  <si>
    <t>عدد الابنية التجارية الاخرى</t>
  </si>
  <si>
    <t>عدد الابنية الصحية</t>
  </si>
  <si>
    <t>Cultural</t>
  </si>
  <si>
    <t>Healthy</t>
  </si>
  <si>
    <t>اجور الاخرى</t>
  </si>
  <si>
    <t>ADDITIONS</t>
  </si>
  <si>
    <t>جدول (1)</t>
  </si>
  <si>
    <t>جدول (2)</t>
  </si>
  <si>
    <t>جدول  (3)              دور جديدة</t>
  </si>
  <si>
    <t>جدول  (4)    اضافات البناء</t>
  </si>
  <si>
    <t>جدول  (5)</t>
  </si>
  <si>
    <t>جدول  (6)</t>
  </si>
  <si>
    <t>جدول  (7)</t>
  </si>
  <si>
    <t>جدول (8)</t>
  </si>
  <si>
    <t xml:space="preserve"> جدول ( 10 )</t>
  </si>
  <si>
    <t>Table ( 10 )</t>
  </si>
  <si>
    <t>جدول ( 11 )</t>
  </si>
  <si>
    <r>
      <rPr>
        <b/>
        <sz val="14"/>
        <rFont val="Arial"/>
        <family val="2"/>
      </rPr>
      <t>جدول</t>
    </r>
    <r>
      <rPr>
        <b/>
        <sz val="12"/>
        <rFont val="Arial"/>
        <family val="2"/>
      </rPr>
      <t xml:space="preserve">  (13)</t>
    </r>
  </si>
  <si>
    <t>جدول  (15)</t>
  </si>
  <si>
    <t>ثرمستون</t>
  </si>
  <si>
    <t xml:space="preserve">جدول 16  </t>
  </si>
  <si>
    <t xml:space="preserve"> تابع جدول  ( 16)</t>
  </si>
  <si>
    <t xml:space="preserve">  تابع جدول  (16 )                حجر</t>
  </si>
  <si>
    <t xml:space="preserve"> تابع جدول  16</t>
  </si>
  <si>
    <t xml:space="preserve"> تابع جدول  (16)</t>
  </si>
  <si>
    <t xml:space="preserve">    تابع جدول  (16)         سمنت</t>
  </si>
  <si>
    <t xml:space="preserve">  تابع جدول  (16)</t>
  </si>
  <si>
    <t>تابع جدول( 16 )            حديد</t>
  </si>
  <si>
    <t xml:space="preserve"> تابع جدول (16)</t>
  </si>
  <si>
    <t>تابع جدول  (16)</t>
  </si>
  <si>
    <t xml:space="preserve"> تابع جدول  (16)            مواد انشائية اخرى</t>
  </si>
  <si>
    <t xml:space="preserve">  تابع جدول (16)</t>
  </si>
  <si>
    <t>مواد  انشائية اخرى</t>
  </si>
  <si>
    <t>TOTL</t>
  </si>
  <si>
    <t>عدد العاملين (الف)</t>
  </si>
  <si>
    <t>Other Wages</t>
  </si>
  <si>
    <t>ملاحظة :تم حذف الاخرى لعدم توفر البيانات .</t>
  </si>
  <si>
    <t>السنوات</t>
  </si>
  <si>
    <t xml:space="preserve">الكلفة الكلية </t>
  </si>
  <si>
    <t xml:space="preserve">قيمة المواد الانشائية </t>
  </si>
  <si>
    <t>عدد العاملين</t>
  </si>
  <si>
    <t>الاجور المدفوعه</t>
  </si>
  <si>
    <t xml:space="preserve"> العدد</t>
  </si>
  <si>
    <t>المجموع الاجور الكلية</t>
  </si>
  <si>
    <t>الكلفة الكلية  لأبنية القطاع الخاص للسنوات (2008-2019 )</t>
  </si>
  <si>
    <r>
      <t xml:space="preserve">                            المؤشرات الرئيسة لتقديرات الابنية المنجزة </t>
    </r>
    <r>
      <rPr>
        <b/>
        <sz val="11"/>
        <rFont val="Calibri"/>
        <family val="2"/>
      </rPr>
      <t xml:space="preserve">̽ </t>
    </r>
    <r>
      <rPr>
        <b/>
        <sz val="11"/>
        <rFont val="Arial"/>
        <family val="2"/>
      </rPr>
      <t>في القطاع الخاص حسب أنواع البناء لسنة 2019</t>
    </r>
  </si>
  <si>
    <t xml:space="preserve">Key INDICATORS ESTIMATION FOR COMPLETED BUILDINGS IN THE PRIVATE SECTOR BY TYPES OF BUILDING 2019       </t>
  </si>
  <si>
    <t xml:space="preserve"> دور السكن (الجديدة ) المنجزة  حسب المحافظات  لسنة 2019</t>
  </si>
  <si>
    <t xml:space="preserve"> COMPLETED DWELLINGS IN THE PRIVATE SECTOR BY GOVERNORATE  2019 </t>
  </si>
  <si>
    <t xml:space="preserve">  الاضافات لدور السكن المنجزة  حسب المحافظات لسنة 2019</t>
  </si>
  <si>
    <t xml:space="preserve">   ADDITION TO HOUSING CONSTRUSTION COMPLETED   IN THE PRIVATE SECTOR BY GOVERNORATE  2019</t>
  </si>
  <si>
    <t xml:space="preserve"> العمارات السكنية (الجديدة ) المنجزة  في القطاع الخاص حسب المحافظات لسنة 2019</t>
  </si>
  <si>
    <t>COMPLETED RESIDENTIAL BUILDINGS IN THE PRIVATE SECTOR BY GOVERNORATE  2019</t>
  </si>
  <si>
    <t xml:space="preserve"> العمارات السكنية (المضافة) المنجزة  في القطاع الخاص حسب المحافظات لسنة 2019</t>
  </si>
  <si>
    <t>العمارات التجارية (الجديدة ) وملحقاتها المنجزة  حسب المحافظات لسنة 2019</t>
  </si>
  <si>
    <t xml:space="preserve">  COMPLETED COMMERCIAL( NEW) IN THE PRIVATE SECTOR BY GOVERNORATE   2019</t>
  </si>
  <si>
    <t xml:space="preserve">العمارات التجارية (المضافة) وملحقاتها المنجزة  حسب المحافظات لسنة 2019 </t>
  </si>
  <si>
    <t>COMPLETED COMMERCIAL BUILDINGS (ADDITION) IN THE PRIVATE SECTOR BY GOVERNORATE  2019</t>
  </si>
  <si>
    <t xml:space="preserve"> الابنية الصناعية (الجديدة )المنجزة في القطاع الخاص حسب المحافظات لسنة 2019</t>
  </si>
  <si>
    <t xml:space="preserve"> COMPLETED BUILDINGS( NEW) FOR THE  INDUSTRIAL PURPOSES  IN THE PRIVATE SECTOR BY GOVERNORATE FOR THE YAER 2019</t>
  </si>
  <si>
    <t xml:space="preserve"> الابنية الصناعية (المضافة)المنجزة في القطاع الخاص حسب المحافظات لسنة 2019</t>
  </si>
  <si>
    <t xml:space="preserve"> COMPLETED BUILDINGS( ADDITON) FOR THE  INDUSTRIAL PURPOSES  IN THE PRIVATE SECTOR BY GOVERNORATE FOR THE YAER 2019</t>
  </si>
  <si>
    <t xml:space="preserve"> الابنية (الجديدة ) المنجزة لاغراض التجارة في القطاع الخاص حسب المحافظات لسنة 2019</t>
  </si>
  <si>
    <t xml:space="preserve"> COMPLETED BUILDINGS (NEW )FOR THE COMMERCIAL PURPOSES IN THE PRIVATE SECTOR BY GOVERNORATE 2019</t>
  </si>
  <si>
    <t>ملاحظة لم يتم منح اجازة اضافة للابنية الصناعية لسنة 2019</t>
  </si>
  <si>
    <t xml:space="preserve"> الابنية (المضافة )المنجزة لاغراض التجارة في القطاع الخاص حسب المحافظات لسنة 2019</t>
  </si>
  <si>
    <t xml:space="preserve"> COMPLETED BUILDINGS  (ADDITION)  FOR THE COMMERCIAL PURPOSES IN THE PRIVATE SECTOR BY GOVERNORATE  2019</t>
  </si>
  <si>
    <t xml:space="preserve"> ملاحظة: بالنسبة  للفنادق للكازينوهات والمطاعم والأبنية التجارية الاخرى لم ترد لنا اي اجازة اضافة لباقي المحافظات لسنة 2019 .</t>
  </si>
  <si>
    <t xml:space="preserve"> الابنية ( الجديدة ) المنجزة لاغراض الخدمات الاجتماعية في القطاع الخاص حسب المحافظات لسنة 2019</t>
  </si>
  <si>
    <t xml:space="preserve"> COMPLETED BUILDINGS ( NEW) FOR THE PURPOSES SOCIAL SERVICES IN THE PRIVATE SECTOR BY GOVERNORATE FOR THE YAER 2019</t>
  </si>
  <si>
    <t xml:space="preserve"> الابنية (المضافة) المنجزة لاغراض الخدمات الاجتماعية في القطاع الخاص حسب المحافظات لسنة 2019</t>
  </si>
  <si>
    <t xml:space="preserve"> COMPLETED BUILDINGS ( ADDITION) FOR THE PURPOSES OF SOCIAL SERVICES IN THE PRIVATE SECTOR BY GOVERNORATE FOR THE YAER 2019</t>
  </si>
  <si>
    <t xml:space="preserve"> العاملين ومجموع الاجور المدفوعة لهم حسب اصنافهم حسب المحافظات لسنة 2019  </t>
  </si>
  <si>
    <t xml:space="preserve"> EMPLOYEES AND WAGES IN THE PRIVATE SECTOR BY Kind and GOVERNORATE  2019 </t>
  </si>
  <si>
    <t xml:space="preserve">                           كمية وقيمة المواد الانشائية المستخدمة حسب المحافظات لسنة 2019</t>
  </si>
  <si>
    <t xml:space="preserve">           QUANTITY AND COSTS FOR THE BUILDINGS MATERIAL BY GOVERNORAT  2019                    </t>
  </si>
  <si>
    <t xml:space="preserve">كمية وقيمة المواد الانشائية المستخدمة حسب المحافظات لسنة 2019  </t>
  </si>
  <si>
    <t xml:space="preserve">             QUANTITY AND COSTS FOR THE BUILDINGS MATERIAL BY GOVERNORAT  2019                    </t>
  </si>
  <si>
    <t>QUANTITY AND COSTS FOR THE BUILDINGS MATERIAL BY GOVERNORAT  2019</t>
  </si>
  <si>
    <t>كمية وقيمة المواد الانشائية المستخدمة حسب المحافظات لسنة 2019  (الكلفة : الف دينار )</t>
  </si>
  <si>
    <t>QUANTITY AND COSTS FOR THE  BUILDINGS MATERIAL BY GOVERNORAT  2019</t>
  </si>
  <si>
    <t xml:space="preserve">كمية وقيمة المواد الانشائية المستخدمة حسب المحافظات لسنة 2019 </t>
  </si>
  <si>
    <t xml:space="preserve">                QUANTITY AND COSTS FOR THE  BUILDINGS MATERIAL BYGOVERNORAT  2019</t>
  </si>
  <si>
    <t xml:space="preserve">        QUANTITY AND COSTS FOR THE BUILDINGS MATERIAL BYGOVERNORAT  2019</t>
  </si>
  <si>
    <t xml:space="preserve">                              كمية وقيمة المواد الانشائية المستخدمة البناء حسب المحافظات لسنة 2019                       </t>
  </si>
  <si>
    <t xml:space="preserve">                           كمية وقيمة المواد الانشائية المستخدمة البناء حسب المحافظات لسنة 2019</t>
  </si>
  <si>
    <t xml:space="preserve">                                                         QUANTITY AND COSTS FOR THE BUILDINGS MATERIAL BY GOVERNORAT  2019</t>
  </si>
  <si>
    <t xml:space="preserve">كمية وقيمة المواد الانشائية المستخدمة في البناء حسب المحافظات لسنة 2019 </t>
  </si>
  <si>
    <t xml:space="preserve">QUANTITY AND COSTS FOR THE  BUILDINGS MATERIAL BY GOVERNORAT FOR THE  YEAR 2019                                                                                                                                                       </t>
  </si>
  <si>
    <t xml:space="preserve">كمية وقيمة المواد الانشائية المستخدمة في البناء حسب المحافظات لسنة 2019  </t>
  </si>
  <si>
    <t xml:space="preserve">QUANTITY AND COSTS FOR THE BUILDINGS MATERIAL BY GOVERNORAT  2019                                                                                 </t>
  </si>
  <si>
    <t xml:space="preserve"> QUANTITY AND COSTS FOR THE  BUILDINGS MATERIAL BY GOVERNORAT    2019                                                                                            </t>
  </si>
  <si>
    <t xml:space="preserve">           QUANTITY AND COSTS FOR THE BUILDINGS MATERIAL BY GOVERNORAT 2019                                             </t>
  </si>
  <si>
    <t xml:space="preserve">        QUANTITY AND COSTS FOR THE BUILDINGS MATERIAL BY GOVERNORAT  2019                                          </t>
  </si>
  <si>
    <t xml:space="preserve">كلفة المواد الانشائية المستخدمة والاجور المدفوعة لابنية القطاع الخاص حسب المحافظات لسنة 2019 </t>
  </si>
  <si>
    <t>COST OF CONSTRUCTION MATERIAL WAGESTRANSPORT IN THE PRIVATE SECTOR  BY GOVERNORATE  2019</t>
  </si>
  <si>
    <t>NINAWA</t>
  </si>
  <si>
    <t xml:space="preserve">النجف </t>
  </si>
  <si>
    <t xml:space="preserve">القادسية </t>
  </si>
  <si>
    <t>عدد الورشات</t>
  </si>
  <si>
    <t xml:space="preserve">دينية </t>
  </si>
  <si>
    <t>Area of Land</t>
  </si>
  <si>
    <t>AL-Anbar</t>
  </si>
  <si>
    <t>Al-Anjaf</t>
  </si>
  <si>
    <t>Al-najaf</t>
  </si>
  <si>
    <t>ملاحظة : بالنسبة للابنية الثقافية والصحية  لم تردنا اي اجازة لباقي المحافظات لسنة 2019.</t>
  </si>
  <si>
    <t>اضافة</t>
  </si>
  <si>
    <t>No</t>
  </si>
  <si>
    <t xml:space="preserve"> جدول ( 9 )   بناء جديد</t>
  </si>
  <si>
    <t>اصباغ زيتية</t>
  </si>
  <si>
    <t>انابيب كونكريتية</t>
  </si>
  <si>
    <t xml:space="preserve"> </t>
  </si>
  <si>
    <t xml:space="preserve">ملاحظة: بالنسبة للكازينوهات والمطاعم والفنادق والابنية التجارية لم تردنا لبقية المحافظات لسنة 2019 .  </t>
  </si>
  <si>
    <t>ملاجظة : لم تتوفر بيانات لمادة الحجر لسنة 2019 للمحافظات المتبقية</t>
  </si>
  <si>
    <t>TOTAL COST OF BUILDING IN THE PRIVATE SECTOR FOR  (2008 -2019)</t>
  </si>
  <si>
    <t>ملاحظة :لم يتم منح اجازة لتشييد الابنية الصناعية لسنة 2019للمحافظات المتبقية وكذالك للاضافة والتحوير .</t>
  </si>
  <si>
    <t>المجموع الكلي للكلفة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</si>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</sst>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0;[Red]0.00"/>
    <numFmt numFmtId="166" formatCode="#,##0;[Red]#,##0"/>
    <numFmt numFmtId="167" formatCode="#,##0_ ;[Red]\-#,##0\ 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rgb="FF333333"/>
      <name val="Arial"/>
      <family val="2"/>
    </font>
    <font>
      <b/>
      <sz val="11"/>
      <color indexed="8"/>
      <name val="Arial"/>
      <family val="2"/>
    </font>
    <font>
      <b/>
      <sz val="11"/>
      <name val="Calibri"/>
      <family val="2"/>
    </font>
    <font>
      <b/>
      <sz val="11"/>
      <color indexed="9"/>
      <name val="Arial"/>
      <family val="2"/>
    </font>
    <font>
      <b/>
      <sz val="11"/>
      <name val="Aharoni"/>
      <charset val="177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55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0" borderId="0" xfId="0" applyBorder="1"/>
    <xf numFmtId="0" fontId="0" fillId="0" borderId="1" xfId="0" applyBorder="1"/>
    <xf numFmtId="0" fontId="6" fillId="2" borderId="0" xfId="0" applyFont="1" applyFill="1"/>
    <xf numFmtId="1" fontId="0" fillId="0" borderId="0" xfId="0" applyNumberFormat="1"/>
    <xf numFmtId="0" fontId="0" fillId="0" borderId="0" xfId="0"/>
    <xf numFmtId="0" fontId="1" fillId="0" borderId="0" xfId="0" applyFont="1"/>
    <xf numFmtId="0" fontId="7" fillId="6" borderId="0" xfId="0" applyFont="1" applyFill="1"/>
    <xf numFmtId="0" fontId="7" fillId="6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 indent="2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/>
    <xf numFmtId="0" fontId="7" fillId="7" borderId="0" xfId="0" applyFont="1" applyFill="1" applyBorder="1" applyAlignment="1">
      <alignment horizontal="right" vertical="center" wrapText="1"/>
    </xf>
    <xf numFmtId="1" fontId="7" fillId="7" borderId="0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2" borderId="0" xfId="0" applyFont="1" applyFill="1"/>
    <xf numFmtId="0" fontId="11" fillId="2" borderId="0" xfId="0" applyFont="1" applyFill="1"/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right" vertical="center" wrapText="1"/>
    </xf>
    <xf numFmtId="0" fontId="7" fillId="0" borderId="0" xfId="0" applyFont="1"/>
    <xf numFmtId="0" fontId="7" fillId="3" borderId="0" xfId="0" applyFont="1" applyFill="1" applyBorder="1" applyAlignment="1">
      <alignment horizontal="center" vertical="center" wrapText="1"/>
    </xf>
    <xf numFmtId="0" fontId="7" fillId="2" borderId="3" xfId="0" applyFont="1" applyFill="1" applyBorder="1"/>
    <xf numFmtId="0" fontId="7" fillId="3" borderId="3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1" fontId="7" fillId="7" borderId="0" xfId="0" applyNumberFormat="1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6" borderId="0" xfId="0" applyFont="1" applyFill="1" applyBorder="1"/>
    <xf numFmtId="0" fontId="7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1" fontId="7" fillId="2" borderId="0" xfId="0" applyNumberFormat="1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horizontal="left" vertical="center" wrapText="1"/>
    </xf>
    <xf numFmtId="1" fontId="7" fillId="4" borderId="0" xfId="0" applyNumberFormat="1" applyFont="1" applyFill="1" applyBorder="1" applyAlignment="1">
      <alignment horizontal="right" vertical="center" wrapText="1"/>
    </xf>
    <xf numFmtId="1" fontId="7" fillId="4" borderId="0" xfId="0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7" fillId="3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right" vertical="center" wrapText="1"/>
    </xf>
    <xf numFmtId="1" fontId="7" fillId="3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1" fontId="7" fillId="3" borderId="3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/>
    <xf numFmtId="0" fontId="13" fillId="6" borderId="0" xfId="0" applyFont="1" applyFill="1" applyBorder="1"/>
    <xf numFmtId="0" fontId="7" fillId="5" borderId="0" xfId="0" applyFont="1" applyFill="1"/>
    <xf numFmtId="0" fontId="7" fillId="2" borderId="2" xfId="0" applyFont="1" applyFill="1" applyBorder="1" applyAlignment="1">
      <alignment horizontal="right"/>
    </xf>
    <xf numFmtId="0" fontId="7" fillId="7" borderId="1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0" fillId="0" borderId="0" xfId="0" applyBorder="1" applyAlignment="1"/>
    <xf numFmtId="0" fontId="7" fillId="3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7" fillId="2" borderId="0" xfId="0" applyFont="1" applyFill="1" applyBorder="1" applyAlignment="1">
      <alignment horizontal="right" vertical="center" wrapText="1"/>
    </xf>
    <xf numFmtId="3" fontId="7" fillId="7" borderId="0" xfId="0" applyNumberFormat="1" applyFont="1" applyFill="1" applyBorder="1" applyAlignment="1">
      <alignment vertical="center" wrapText="1"/>
    </xf>
    <xf numFmtId="3" fontId="7" fillId="6" borderId="0" xfId="0" applyNumberFormat="1" applyFont="1" applyFill="1" applyBorder="1" applyAlignment="1"/>
    <xf numFmtId="3" fontId="7" fillId="3" borderId="0" xfId="0" applyNumberFormat="1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vertical="center" wrapText="1"/>
    </xf>
    <xf numFmtId="3" fontId="7" fillId="6" borderId="0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vertical="center" wrapText="1"/>
    </xf>
    <xf numFmtId="1" fontId="7" fillId="3" borderId="3" xfId="9" applyNumberFormat="1" applyFont="1" applyFill="1" applyBorder="1" applyAlignment="1">
      <alignment horizontal="right" vertical="center" wrapText="1"/>
    </xf>
    <xf numFmtId="0" fontId="7" fillId="3" borderId="3" xfId="9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/>
    </xf>
    <xf numFmtId="0" fontId="7" fillId="3" borderId="3" xfId="9" applyFont="1" applyFill="1" applyBorder="1" applyAlignment="1">
      <alignment horizontal="left" vertical="center" wrapText="1"/>
    </xf>
    <xf numFmtId="0" fontId="7" fillId="2" borderId="0" xfId="9" applyFont="1" applyFill="1" applyBorder="1" applyAlignment="1">
      <alignment vertical="center" wrapText="1"/>
    </xf>
    <xf numFmtId="1" fontId="7" fillId="2" borderId="0" xfId="9" applyNumberFormat="1" applyFont="1" applyFill="1" applyBorder="1" applyAlignment="1">
      <alignment vertical="center" wrapText="1"/>
    </xf>
    <xf numFmtId="0" fontId="7" fillId="6" borderId="0" xfId="9" applyFont="1" applyFill="1" applyBorder="1" applyAlignment="1">
      <alignment vertical="center" wrapText="1"/>
    </xf>
    <xf numFmtId="0" fontId="7" fillId="6" borderId="1" xfId="9" applyFont="1" applyFill="1" applyBorder="1" applyAlignment="1">
      <alignment horizontal="center" vertical="center" wrapText="1"/>
    </xf>
    <xf numFmtId="0" fontId="7" fillId="6" borderId="1" xfId="9" applyFont="1" applyFill="1" applyBorder="1" applyAlignment="1">
      <alignment vertical="center" wrapText="1"/>
    </xf>
    <xf numFmtId="1" fontId="7" fillId="6" borderId="0" xfId="9" applyNumberFormat="1" applyFont="1" applyFill="1" applyBorder="1" applyAlignment="1">
      <alignment vertical="center" wrapText="1"/>
    </xf>
    <xf numFmtId="0" fontId="7" fillId="2" borderId="0" xfId="10" applyFont="1" applyFill="1" applyBorder="1" applyAlignment="1">
      <alignment horizontal="center" vertical="center" wrapText="1"/>
    </xf>
    <xf numFmtId="1" fontId="7" fillId="2" borderId="0" xfId="10" applyNumberFormat="1" applyFont="1" applyFill="1" applyBorder="1" applyAlignment="1">
      <alignment horizontal="right" vertical="center" wrapText="1"/>
    </xf>
    <xf numFmtId="0" fontId="7" fillId="2" borderId="0" xfId="10" applyFont="1" applyFill="1"/>
    <xf numFmtId="1" fontId="7" fillId="2" borderId="0" xfId="1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1" fontId="7" fillId="2" borderId="0" xfId="10" applyNumberFormat="1" applyFont="1" applyFill="1" applyBorder="1" applyAlignment="1">
      <alignment horizontal="left" vertical="center" wrapText="1"/>
    </xf>
    <xf numFmtId="1" fontId="7" fillId="2" borderId="0" xfId="10" applyNumberFormat="1" applyFont="1" applyFill="1" applyBorder="1" applyAlignment="1">
      <alignment vertical="center" wrapText="1"/>
    </xf>
    <xf numFmtId="0" fontId="7" fillId="2" borderId="0" xfId="10" applyFont="1" applyFill="1" applyBorder="1" applyAlignment="1">
      <alignment vertical="center" wrapText="1"/>
    </xf>
    <xf numFmtId="1" fontId="7" fillId="6" borderId="1" xfId="10" applyNumberFormat="1" applyFont="1" applyFill="1" applyBorder="1" applyAlignment="1">
      <alignment vertical="center" wrapText="1"/>
    </xf>
    <xf numFmtId="0" fontId="7" fillId="6" borderId="1" xfId="10" applyFont="1" applyFill="1" applyBorder="1" applyAlignment="1">
      <alignment vertical="center" wrapText="1"/>
    </xf>
    <xf numFmtId="0" fontId="7" fillId="6" borderId="1" xfId="10" applyFont="1" applyFill="1" applyBorder="1" applyAlignment="1">
      <alignment horizontal="center" vertical="center" wrapText="1"/>
    </xf>
    <xf numFmtId="1" fontId="7" fillId="3" borderId="3" xfId="4" applyNumberFormat="1" applyFont="1" applyFill="1" applyBorder="1" applyAlignment="1">
      <alignment horizontal="right" vertical="center" wrapText="1"/>
    </xf>
    <xf numFmtId="1" fontId="7" fillId="3" borderId="0" xfId="4" applyNumberFormat="1" applyFont="1" applyFill="1" applyBorder="1" applyAlignment="1">
      <alignment horizontal="center" vertical="center" wrapText="1"/>
    </xf>
    <xf numFmtId="1" fontId="7" fillId="3" borderId="0" xfId="4" applyNumberFormat="1" applyFont="1" applyFill="1" applyBorder="1" applyAlignment="1">
      <alignment horizontal="left" vertical="center" wrapText="1"/>
    </xf>
    <xf numFmtId="1" fontId="7" fillId="3" borderId="3" xfId="4" applyNumberFormat="1" applyFont="1" applyFill="1" applyBorder="1" applyAlignment="1">
      <alignment horizontal="left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vertical="center" wrapText="1"/>
    </xf>
    <xf numFmtId="1" fontId="7" fillId="3" borderId="0" xfId="4" applyNumberFormat="1" applyFont="1" applyFill="1" applyBorder="1" applyAlignment="1">
      <alignment vertical="center" wrapText="1"/>
    </xf>
    <xf numFmtId="0" fontId="7" fillId="7" borderId="1" xfId="4" applyFont="1" applyFill="1" applyBorder="1" applyAlignment="1">
      <alignment horizontal="center" vertical="center" wrapText="1"/>
    </xf>
    <xf numFmtId="0" fontId="7" fillId="7" borderId="1" xfId="4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1" fontId="7" fillId="2" borderId="0" xfId="0" applyNumberFormat="1" applyFont="1" applyFill="1"/>
    <xf numFmtId="1" fontId="7" fillId="2" borderId="0" xfId="0" applyNumberFormat="1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3" borderId="0" xfId="5" applyFont="1" applyFill="1" applyBorder="1" applyAlignment="1">
      <alignment vertical="center" wrapText="1"/>
    </xf>
    <xf numFmtId="1" fontId="7" fillId="2" borderId="0" xfId="11" applyNumberFormat="1" applyFont="1" applyFill="1" applyBorder="1" applyAlignment="1">
      <alignment horizontal="right" vertical="center" wrapText="1"/>
    </xf>
    <xf numFmtId="1" fontId="7" fillId="2" borderId="0" xfId="11" applyNumberFormat="1" applyFont="1" applyFill="1" applyBorder="1" applyAlignment="1">
      <alignment vertical="center" wrapText="1"/>
    </xf>
    <xf numFmtId="1" fontId="7" fillId="2" borderId="3" xfId="11" applyNumberFormat="1" applyFont="1" applyFill="1" applyBorder="1" applyAlignment="1">
      <alignment vertical="center" wrapText="1"/>
    </xf>
    <xf numFmtId="0" fontId="7" fillId="3" borderId="0" xfId="11" applyFont="1" applyFill="1" applyBorder="1" applyAlignment="1">
      <alignment horizontal="center" vertical="center" wrapText="1"/>
    </xf>
    <xf numFmtId="0" fontId="7" fillId="7" borderId="1" xfId="11" applyFont="1" applyFill="1" applyBorder="1" applyAlignment="1">
      <alignment horizontal="center" vertical="center" wrapText="1"/>
    </xf>
    <xf numFmtId="1" fontId="7" fillId="3" borderId="0" xfId="2" applyNumberFormat="1" applyFont="1" applyFill="1" applyBorder="1" applyAlignment="1">
      <alignment vertical="center" wrapText="1"/>
    </xf>
    <xf numFmtId="1" fontId="7" fillId="3" borderId="0" xfId="2" applyNumberFormat="1" applyFont="1" applyFill="1" applyBorder="1" applyAlignment="1">
      <alignment horizontal="center" vertical="center" wrapText="1"/>
    </xf>
    <xf numFmtId="1" fontId="7" fillId="3" borderId="0" xfId="2" applyNumberFormat="1" applyFont="1" applyFill="1" applyBorder="1" applyAlignment="1">
      <alignment horizontal="left" vertical="center" wrapText="1"/>
    </xf>
    <xf numFmtId="1" fontId="7" fillId="3" borderId="0" xfId="2" applyNumberFormat="1" applyFont="1" applyFill="1" applyBorder="1" applyAlignment="1">
      <alignment horizontal="right" vertical="center" wrapText="1"/>
    </xf>
    <xf numFmtId="1" fontId="7" fillId="7" borderId="1" xfId="2" applyNumberFormat="1" applyFont="1" applyFill="1" applyBorder="1" applyAlignment="1">
      <alignment horizontal="right" vertical="center" wrapText="1"/>
    </xf>
    <xf numFmtId="1" fontId="7" fillId="7" borderId="1" xfId="2" applyNumberFormat="1" applyFont="1" applyFill="1" applyBorder="1" applyAlignment="1">
      <alignment horizontal="left" vertical="center" wrapText="1"/>
    </xf>
    <xf numFmtId="1" fontId="7" fillId="2" borderId="3" xfId="6" applyNumberFormat="1" applyFont="1" applyFill="1" applyBorder="1" applyAlignment="1">
      <alignment vertical="center" wrapText="1"/>
    </xf>
    <xf numFmtId="1" fontId="7" fillId="2" borderId="3" xfId="6" applyNumberFormat="1" applyFont="1" applyFill="1" applyBorder="1" applyAlignment="1">
      <alignment horizontal="right" vertical="center" wrapText="1"/>
    </xf>
    <xf numFmtId="1" fontId="7" fillId="2" borderId="3" xfId="6" applyNumberFormat="1" applyFont="1" applyFill="1" applyBorder="1" applyAlignment="1">
      <alignment horizontal="left" vertical="center" wrapText="1"/>
    </xf>
    <xf numFmtId="0" fontId="7" fillId="7" borderId="0" xfId="6" applyFont="1" applyFill="1" applyBorder="1" applyAlignment="1">
      <alignment vertical="center" wrapText="1"/>
    </xf>
    <xf numFmtId="0" fontId="7" fillId="3" borderId="0" xfId="6" applyFont="1" applyFill="1" applyBorder="1" applyAlignment="1">
      <alignment vertical="center" wrapText="1"/>
    </xf>
    <xf numFmtId="1" fontId="7" fillId="3" borderId="0" xfId="6" applyNumberFormat="1" applyFont="1" applyFill="1" applyBorder="1" applyAlignment="1">
      <alignment horizontal="right" vertical="center" wrapText="1"/>
    </xf>
    <xf numFmtId="1" fontId="7" fillId="3" borderId="3" xfId="5" applyNumberFormat="1" applyFont="1" applyFill="1" applyBorder="1" applyAlignment="1">
      <alignment vertical="center" wrapText="1"/>
    </xf>
    <xf numFmtId="0" fontId="7" fillId="7" borderId="0" xfId="3" applyFont="1" applyFill="1" applyBorder="1" applyAlignment="1">
      <alignment vertical="center" wrapText="1"/>
    </xf>
    <xf numFmtId="0" fontId="7" fillId="7" borderId="1" xfId="3" applyFont="1" applyFill="1" applyBorder="1" applyAlignment="1">
      <alignment horizontal="left" vertical="center" wrapText="1"/>
    </xf>
    <xf numFmtId="0" fontId="7" fillId="7" borderId="1" xfId="3" applyFont="1" applyFill="1" applyBorder="1" applyAlignment="1">
      <alignment vertical="center" wrapText="1"/>
    </xf>
    <xf numFmtId="0" fontId="7" fillId="3" borderId="0" xfId="3" applyFont="1" applyFill="1" applyBorder="1" applyAlignment="1">
      <alignment vertical="center" wrapText="1"/>
    </xf>
    <xf numFmtId="1" fontId="7" fillId="3" borderId="0" xfId="7" applyNumberFormat="1" applyFont="1" applyFill="1" applyBorder="1" applyAlignment="1">
      <alignment vertical="center" wrapText="1"/>
    </xf>
    <xf numFmtId="0" fontId="7" fillId="3" borderId="3" xfId="7" applyFont="1" applyFill="1" applyBorder="1" applyAlignment="1">
      <alignment vertical="center" wrapText="1"/>
    </xf>
    <xf numFmtId="1" fontId="7" fillId="3" borderId="0" xfId="7" applyNumberFormat="1" applyFont="1" applyFill="1" applyBorder="1" applyAlignment="1">
      <alignment horizontal="left" vertical="center" wrapText="1"/>
    </xf>
    <xf numFmtId="1" fontId="7" fillId="3" borderId="1" xfId="7" applyNumberFormat="1" applyFont="1" applyFill="1" applyBorder="1" applyAlignment="1">
      <alignment vertical="center" wrapText="1"/>
    </xf>
    <xf numFmtId="0" fontId="7" fillId="2" borderId="1" xfId="8" applyFont="1" applyFill="1" applyBorder="1" applyAlignment="1">
      <alignment vertical="center" wrapText="1"/>
    </xf>
    <xf numFmtId="0" fontId="7" fillId="2" borderId="1" xfId="8" applyFont="1" applyFill="1" applyBorder="1" applyAlignment="1">
      <alignment horizontal="left" vertical="center" wrapText="1"/>
    </xf>
    <xf numFmtId="0" fontId="7" fillId="2" borderId="0" xfId="5" applyFont="1" applyFill="1" applyBorder="1" applyAlignment="1"/>
    <xf numFmtId="0" fontId="7" fillId="7" borderId="1" xfId="5" applyFont="1" applyFill="1" applyBorder="1" applyAlignment="1">
      <alignment vertical="center" wrapText="1"/>
    </xf>
    <xf numFmtId="0" fontId="7" fillId="6" borderId="1" xfId="5" applyFont="1" applyFill="1" applyBorder="1" applyAlignment="1"/>
    <xf numFmtId="0" fontId="7" fillId="7" borderId="1" xfId="5" applyFont="1" applyFill="1" applyBorder="1" applyAlignment="1">
      <alignment horizontal="left" vertical="center" wrapText="1"/>
    </xf>
    <xf numFmtId="1" fontId="7" fillId="2" borderId="0" xfId="8" applyNumberFormat="1" applyFont="1" applyFill="1" applyBorder="1" applyAlignment="1">
      <alignment vertical="center" wrapText="1"/>
    </xf>
    <xf numFmtId="1" fontId="7" fillId="3" borderId="3" xfId="8" applyNumberFormat="1" applyFont="1" applyFill="1" applyBorder="1" applyAlignment="1">
      <alignment horizontal="left" vertical="center" wrapText="1"/>
    </xf>
    <xf numFmtId="0" fontId="7" fillId="2" borderId="0" xfId="8" applyFont="1" applyFill="1" applyBorder="1" applyAlignment="1">
      <alignment vertical="center" wrapText="1"/>
    </xf>
    <xf numFmtId="0" fontId="7" fillId="2" borderId="0" xfId="8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0" fillId="5" borderId="0" xfId="0" applyFill="1"/>
    <xf numFmtId="3" fontId="7" fillId="6" borderId="0" xfId="0" applyNumberFormat="1" applyFont="1" applyFill="1" applyBorder="1" applyAlignment="1" applyProtection="1">
      <alignment horizontal="right" vertical="center"/>
      <protection locked="0"/>
    </xf>
    <xf numFmtId="3" fontId="7" fillId="5" borderId="0" xfId="0" applyNumberFormat="1" applyFont="1" applyFill="1" applyBorder="1" applyAlignment="1"/>
    <xf numFmtId="0" fontId="7" fillId="5" borderId="0" xfId="0" applyFont="1" applyFill="1" applyBorder="1" applyAlignment="1">
      <alignment horizontal="left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vertical="center" wrapText="1"/>
    </xf>
    <xf numFmtId="0" fontId="7" fillId="4" borderId="0" xfId="3" applyFont="1" applyFill="1" applyBorder="1" applyAlignment="1">
      <alignment vertical="center" wrapText="1"/>
    </xf>
    <xf numFmtId="0" fontId="7" fillId="4" borderId="0" xfId="3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6" borderId="1" xfId="8" applyFont="1" applyFill="1" applyBorder="1" applyAlignment="1">
      <alignment vertical="center" wrapText="1"/>
    </xf>
    <xf numFmtId="0" fontId="7" fillId="6" borderId="1" xfId="8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0" xfId="9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65" fontId="7" fillId="2" borderId="3" xfId="0" applyNumberFormat="1" applyFont="1" applyFill="1" applyBorder="1" applyAlignment="1">
      <alignment vertical="center" wrapText="1"/>
    </xf>
    <xf numFmtId="165" fontId="7" fillId="2" borderId="0" xfId="0" applyNumberFormat="1" applyFont="1" applyFill="1" applyBorder="1" applyAlignment="1">
      <alignment horizontal="right" vertical="center" wrapText="1"/>
    </xf>
    <xf numFmtId="3" fontId="7" fillId="6" borderId="1" xfId="0" applyNumberFormat="1" applyFont="1" applyFill="1" applyBorder="1" applyAlignment="1">
      <alignment vertical="center" wrapText="1"/>
    </xf>
    <xf numFmtId="3" fontId="7" fillId="6" borderId="0" xfId="0" applyNumberFormat="1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3" fontId="0" fillId="0" borderId="0" xfId="0" applyNumberFormat="1"/>
    <xf numFmtId="0" fontId="7" fillId="2" borderId="0" xfId="0" applyFont="1" applyFill="1" applyBorder="1" applyAlignment="1">
      <alignment horizontal="center" vertical="center" wrapText="1"/>
    </xf>
    <xf numFmtId="0" fontId="9" fillId="4" borderId="0" xfId="3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7" fillId="2" borderId="0" xfId="1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vertical="center" wrapText="1"/>
    </xf>
    <xf numFmtId="3" fontId="7" fillId="4" borderId="6" xfId="0" applyNumberFormat="1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8" fillId="5" borderId="6" xfId="0" applyFont="1" applyFill="1" applyBorder="1" applyAlignment="1">
      <alignment horizontal="right" vertical="center" wrapText="1"/>
    </xf>
    <xf numFmtId="3" fontId="8" fillId="4" borderId="6" xfId="0" applyNumberFormat="1" applyFont="1" applyFill="1" applyBorder="1" applyAlignment="1">
      <alignment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right" vertical="center" wrapText="1"/>
    </xf>
    <xf numFmtId="1" fontId="7" fillId="4" borderId="6" xfId="0" applyNumberFormat="1" applyFont="1" applyFill="1" applyBorder="1" applyAlignment="1">
      <alignment horizontal="left" vertical="center" wrapText="1"/>
    </xf>
    <xf numFmtId="3" fontId="1" fillId="0" borderId="0" xfId="0" applyNumberFormat="1" applyFont="1"/>
    <xf numFmtId="3" fontId="7" fillId="4" borderId="0" xfId="11" applyNumberFormat="1" applyFont="1" applyFill="1" applyBorder="1" applyAlignment="1">
      <alignment vertical="center" wrapText="1"/>
    </xf>
    <xf numFmtId="1" fontId="7" fillId="4" borderId="0" xfId="11" applyNumberFormat="1" applyFont="1" applyFill="1" applyBorder="1" applyAlignment="1">
      <alignment horizontal="left" vertical="center" wrapText="1"/>
    </xf>
    <xf numFmtId="0" fontId="7" fillId="4" borderId="0" xfId="2" applyFont="1" applyFill="1" applyBorder="1" applyAlignment="1">
      <alignment horizontal="left" vertical="center" wrapText="1"/>
    </xf>
    <xf numFmtId="3" fontId="7" fillId="4" borderId="0" xfId="6" applyNumberFormat="1" applyFont="1" applyFill="1" applyBorder="1" applyAlignment="1">
      <alignment vertical="center" wrapText="1"/>
    </xf>
    <xf numFmtId="1" fontId="7" fillId="4" borderId="0" xfId="6" applyNumberFormat="1" applyFont="1" applyFill="1" applyBorder="1" applyAlignment="1">
      <alignment horizontal="left" vertical="center" wrapText="1"/>
    </xf>
    <xf numFmtId="1" fontId="7" fillId="4" borderId="0" xfId="6" applyNumberFormat="1" applyFont="1" applyFill="1" applyBorder="1" applyAlignment="1">
      <alignment horizontal="right" vertical="center" wrapText="1"/>
    </xf>
    <xf numFmtId="3" fontId="7" fillId="4" borderId="0" xfId="7" applyNumberFormat="1" applyFont="1" applyFill="1" applyBorder="1" applyAlignment="1">
      <alignment vertical="center" wrapText="1"/>
    </xf>
    <xf numFmtId="0" fontId="7" fillId="5" borderId="0" xfId="7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5" applyFont="1" applyFill="1" applyBorder="1" applyAlignment="1">
      <alignment horizontal="left" vertical="center" wrapText="1"/>
    </xf>
    <xf numFmtId="3" fontId="7" fillId="4" borderId="6" xfId="7" applyNumberFormat="1" applyFont="1" applyFill="1" applyBorder="1" applyAlignment="1">
      <alignment horizontal="right" vertical="center" wrapText="1"/>
    </xf>
    <xf numFmtId="3" fontId="7" fillId="4" borderId="6" xfId="7" applyNumberFormat="1" applyFont="1" applyFill="1" applyBorder="1" applyAlignment="1">
      <alignment horizontal="left" vertical="center" wrapText="1"/>
    </xf>
    <xf numFmtId="0" fontId="1" fillId="0" borderId="0" xfId="0" applyFont="1" applyAlignment="1"/>
    <xf numFmtId="0" fontId="5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0" xfId="5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3" borderId="0" xfId="6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0" fontId="7" fillId="3" borderId="0" xfId="7" applyFont="1" applyFill="1" applyBorder="1" applyAlignment="1">
      <alignment horizontal="center" vertical="center" wrapText="1"/>
    </xf>
    <xf numFmtId="0" fontId="7" fillId="2" borderId="0" xfId="8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/>
    <xf numFmtId="0" fontId="5" fillId="5" borderId="0" xfId="0" applyFont="1" applyFill="1" applyBorder="1" applyAlignment="1">
      <alignment vertical="center" wrapText="1"/>
    </xf>
    <xf numFmtId="0" fontId="5" fillId="0" borderId="0" xfId="0" applyFont="1" applyAlignment="1"/>
    <xf numFmtId="0" fontId="7" fillId="0" borderId="0" xfId="0" applyFont="1" applyAlignment="1">
      <alignment horizontal="left"/>
    </xf>
    <xf numFmtId="0" fontId="7" fillId="2" borderId="0" xfId="0" applyFont="1" applyFill="1" applyBorder="1" applyAlignment="1">
      <alignment horizontal="left" vertical="center" wrapText="1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3" fontId="7" fillId="6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horizontal="left" vertical="center" wrapText="1"/>
    </xf>
    <xf numFmtId="0" fontId="7" fillId="3" borderId="0" xfId="11" applyFont="1" applyFill="1" applyBorder="1" applyAlignment="1">
      <alignment horizontal="center" vertical="center" wrapText="1"/>
    </xf>
    <xf numFmtId="1" fontId="7" fillId="3" borderId="3" xfId="5" applyNumberFormat="1" applyFont="1" applyFill="1" applyBorder="1" applyAlignment="1">
      <alignment horizontal="left" vertical="center" wrapText="1"/>
    </xf>
    <xf numFmtId="1" fontId="7" fillId="2" borderId="3" xfId="3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right" vertical="center" wrapText="1"/>
    </xf>
    <xf numFmtId="0" fontId="8" fillId="6" borderId="0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 vertical="center" wrapText="1"/>
    </xf>
    <xf numFmtId="0" fontId="4" fillId="0" borderId="0" xfId="0" applyFont="1"/>
    <xf numFmtId="0" fontId="8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/>
    </xf>
    <xf numFmtId="0" fontId="8" fillId="2" borderId="2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right" vertical="center" wrapText="1"/>
    </xf>
    <xf numFmtId="0" fontId="8" fillId="0" borderId="0" xfId="0" applyFont="1"/>
    <xf numFmtId="0" fontId="8" fillId="7" borderId="0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right"/>
    </xf>
    <xf numFmtId="0" fontId="7" fillId="3" borderId="3" xfId="0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" fontId="7" fillId="7" borderId="1" xfId="0" applyNumberFormat="1" applyFont="1" applyFill="1" applyBorder="1" applyAlignment="1">
      <alignment horizontal="right" vertical="center" wrapText="1"/>
    </xf>
    <xf numFmtId="1" fontId="7" fillId="7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1" fontId="7" fillId="2" borderId="3" xfId="0" applyNumberFormat="1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5" applyFont="1" applyFill="1" applyBorder="1" applyAlignment="1">
      <alignment horizontal="center" vertical="center" wrapText="1"/>
    </xf>
    <xf numFmtId="0" fontId="7" fillId="7" borderId="1" xfId="11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5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1" fontId="7" fillId="3" borderId="0" xfId="7" applyNumberFormat="1" applyFont="1" applyFill="1" applyBorder="1" applyAlignment="1">
      <alignment horizontal="right" vertical="center" wrapText="1"/>
    </xf>
    <xf numFmtId="0" fontId="7" fillId="2" borderId="0" xfId="8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/>
    <xf numFmtId="1" fontId="1" fillId="0" borderId="0" xfId="0" applyNumberFormat="1" applyFont="1" applyAlignment="1"/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3" fontId="7" fillId="7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7" fillId="6" borderId="0" xfId="0" applyNumberFormat="1" applyFont="1" applyFill="1" applyBorder="1" applyAlignment="1">
      <alignment horizontal="center" wrapText="1" readingOrder="1"/>
    </xf>
    <xf numFmtId="3" fontId="7" fillId="5" borderId="0" xfId="0" applyNumberFormat="1" applyFont="1" applyFill="1" applyBorder="1" applyAlignment="1">
      <alignment horizontal="center"/>
    </xf>
    <xf numFmtId="3" fontId="7" fillId="6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right"/>
      <protection locked="0"/>
    </xf>
    <xf numFmtId="1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/>
    <xf numFmtId="0" fontId="0" fillId="0" borderId="0" xfId="0" applyFill="1"/>
    <xf numFmtId="0" fontId="7" fillId="4" borderId="0" xfId="0" applyFont="1" applyFill="1" applyBorder="1" applyAlignment="1">
      <alignment horizontal="right" vertical="center" wrapText="1"/>
    </xf>
    <xf numFmtId="0" fontId="0" fillId="6" borderId="0" xfId="0" applyFill="1"/>
    <xf numFmtId="0" fontId="7" fillId="6" borderId="0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3" fontId="7" fillId="4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3" fontId="7" fillId="6" borderId="0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6" borderId="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wrapText="1" readingOrder="1"/>
    </xf>
    <xf numFmtId="1" fontId="15" fillId="4" borderId="0" xfId="0" applyNumberFormat="1" applyFont="1" applyFill="1" applyBorder="1" applyAlignment="1">
      <alignment horizontal="righ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vertical="center" wrapText="1"/>
    </xf>
    <xf numFmtId="0" fontId="0" fillId="6" borderId="0" xfId="0" applyFill="1" applyBorder="1"/>
    <xf numFmtId="0" fontId="0" fillId="5" borderId="0" xfId="0" applyFill="1" applyBorder="1"/>
    <xf numFmtId="0" fontId="7" fillId="5" borderId="3" xfId="0" applyFont="1" applyFill="1" applyBorder="1" applyAlignment="1">
      <alignment horizontal="right" vertical="center" wrapText="1"/>
    </xf>
    <xf numFmtId="1" fontId="7" fillId="4" borderId="3" xfId="0" applyNumberFormat="1" applyFont="1" applyFill="1" applyBorder="1" applyAlignment="1">
      <alignment horizontal="right" vertical="center" wrapText="1"/>
    </xf>
    <xf numFmtId="0" fontId="7" fillId="5" borderId="3" xfId="0" applyFont="1" applyFill="1" applyBorder="1" applyAlignment="1">
      <alignment vertical="center" wrapText="1"/>
    </xf>
    <xf numFmtId="0" fontId="0" fillId="5" borderId="3" xfId="0" applyFill="1" applyBorder="1"/>
    <xf numFmtId="3" fontId="7" fillId="4" borderId="8" xfId="0" applyNumberFormat="1" applyFont="1" applyFill="1" applyBorder="1" applyAlignment="1">
      <alignment vertical="center" wrapText="1"/>
    </xf>
    <xf numFmtId="0" fontId="0" fillId="5" borderId="8" xfId="0" applyFill="1" applyBorder="1"/>
    <xf numFmtId="0" fontId="7" fillId="5" borderId="0" xfId="0" applyFont="1" applyFill="1" applyBorder="1" applyAlignment="1">
      <alignment horizontal="center"/>
    </xf>
    <xf numFmtId="0" fontId="7" fillId="6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right" vertical="center" wrapText="1"/>
    </xf>
    <xf numFmtId="0" fontId="7" fillId="6" borderId="8" xfId="0" applyFont="1" applyFill="1" applyBorder="1" applyAlignment="1">
      <alignment horizontal="left" vertical="center" wrapText="1"/>
    </xf>
    <xf numFmtId="0" fontId="0" fillId="6" borderId="8" xfId="0" applyFill="1" applyBorder="1"/>
    <xf numFmtId="0" fontId="7" fillId="4" borderId="8" xfId="0" applyFont="1" applyFill="1" applyBorder="1" applyAlignment="1">
      <alignment horizontal="righ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0" xfId="9" applyFont="1" applyFill="1" applyBorder="1" applyAlignment="1">
      <alignment horizontal="right" vertical="center" wrapText="1"/>
    </xf>
    <xf numFmtId="1" fontId="7" fillId="5" borderId="0" xfId="9" applyNumberFormat="1" applyFont="1" applyFill="1" applyBorder="1" applyAlignment="1">
      <alignment vertical="center" wrapText="1"/>
    </xf>
    <xf numFmtId="0" fontId="7" fillId="5" borderId="8" xfId="9" applyFont="1" applyFill="1" applyBorder="1" applyAlignment="1">
      <alignment vertical="center" wrapText="1"/>
    </xf>
    <xf numFmtId="164" fontId="7" fillId="4" borderId="8" xfId="1" applyFont="1" applyFill="1" applyBorder="1" applyAlignment="1">
      <alignment horizontal="right" vertical="center" wrapText="1"/>
    </xf>
    <xf numFmtId="1" fontId="7" fillId="4" borderId="8" xfId="9" applyNumberFormat="1" applyFont="1" applyFill="1" applyBorder="1" applyAlignment="1">
      <alignment horizontal="right" vertical="center" wrapText="1"/>
    </xf>
    <xf numFmtId="1" fontId="7" fillId="5" borderId="8" xfId="9" applyNumberFormat="1" applyFont="1" applyFill="1" applyBorder="1" applyAlignment="1">
      <alignment horizontal="left" vertical="center" wrapText="1"/>
    </xf>
    <xf numFmtId="0" fontId="7" fillId="5" borderId="0" xfId="10" applyFont="1" applyFill="1" applyBorder="1" applyAlignment="1">
      <alignment vertical="center" wrapText="1"/>
    </xf>
    <xf numFmtId="0" fontId="7" fillId="4" borderId="0" xfId="10" applyFont="1" applyFill="1" applyBorder="1" applyAlignment="1">
      <alignment horizontal="right" vertical="center" wrapText="1"/>
    </xf>
    <xf numFmtId="1" fontId="7" fillId="4" borderId="0" xfId="10" applyNumberFormat="1" applyFont="1" applyFill="1" applyBorder="1" applyAlignment="1">
      <alignment horizontal="right" vertical="center" wrapText="1"/>
    </xf>
    <xf numFmtId="1" fontId="7" fillId="5" borderId="0" xfId="10" applyNumberFormat="1" applyFont="1" applyFill="1" applyBorder="1" applyAlignment="1">
      <alignment vertical="center" wrapText="1"/>
    </xf>
    <xf numFmtId="0" fontId="7" fillId="5" borderId="3" xfId="10" applyFont="1" applyFill="1" applyBorder="1" applyAlignment="1">
      <alignment vertical="center" wrapText="1"/>
    </xf>
    <xf numFmtId="0" fontId="7" fillId="5" borderId="3" xfId="10" applyFont="1" applyFill="1" applyBorder="1" applyAlignment="1">
      <alignment horizontal="right" vertical="center" wrapText="1"/>
    </xf>
    <xf numFmtId="1" fontId="7" fillId="5" borderId="3" xfId="10" applyNumberFormat="1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righ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0" fillId="6" borderId="3" xfId="0" applyFill="1" applyBorder="1"/>
    <xf numFmtId="0" fontId="0" fillId="0" borderId="3" xfId="0" applyBorder="1"/>
    <xf numFmtId="0" fontId="7" fillId="4" borderId="0" xfId="11" applyFont="1" applyFill="1" applyBorder="1" applyAlignment="1">
      <alignment horizontal="center" vertical="center" wrapText="1"/>
    </xf>
    <xf numFmtId="0" fontId="7" fillId="4" borderId="0" xfId="11" applyFont="1" applyFill="1" applyBorder="1" applyAlignment="1">
      <alignment vertical="center" wrapText="1"/>
    </xf>
    <xf numFmtId="1" fontId="7" fillId="4" borderId="3" xfId="11" applyNumberFormat="1" applyFont="1" applyFill="1" applyBorder="1" applyAlignment="1">
      <alignment horizontal="center" vertical="center" wrapText="1"/>
    </xf>
    <xf numFmtId="11" fontId="7" fillId="4" borderId="3" xfId="2" applyNumberFormat="1" applyFont="1" applyFill="1" applyBorder="1" applyAlignment="1">
      <alignment horizontal="center" vertical="center" wrapText="1"/>
    </xf>
    <xf numFmtId="0" fontId="7" fillId="4" borderId="3" xfId="11" applyFont="1" applyFill="1" applyBorder="1" applyAlignment="1">
      <alignment horizontal="center" vertical="center" wrapText="1"/>
    </xf>
    <xf numFmtId="0" fontId="7" fillId="4" borderId="0" xfId="2" applyFont="1" applyFill="1" applyBorder="1" applyAlignment="1">
      <alignment vertical="center" wrapText="1"/>
    </xf>
    <xf numFmtId="1" fontId="7" fillId="3" borderId="3" xfId="6" applyNumberFormat="1" applyFont="1" applyFill="1" applyBorder="1" applyAlignment="1">
      <alignment horizontal="right" vertical="center" wrapText="1"/>
    </xf>
    <xf numFmtId="0" fontId="7" fillId="5" borderId="0" xfId="6" applyFont="1" applyFill="1" applyBorder="1" applyAlignment="1">
      <alignment horizontal="center" vertical="center" wrapText="1"/>
    </xf>
    <xf numFmtId="0" fontId="7" fillId="5" borderId="0" xfId="6" applyFont="1" applyFill="1" applyBorder="1" applyAlignment="1">
      <alignment horizontal="right" vertical="center" wrapText="1"/>
    </xf>
    <xf numFmtId="0" fontId="7" fillId="4" borderId="0" xfId="6" applyFont="1" applyFill="1" applyBorder="1" applyAlignment="1">
      <alignment vertical="center" wrapText="1"/>
    </xf>
    <xf numFmtId="0" fontId="7" fillId="4" borderId="0" xfId="6" applyFont="1" applyFill="1" applyBorder="1" applyAlignment="1">
      <alignment horizontal="center" vertical="center" wrapText="1"/>
    </xf>
    <xf numFmtId="1" fontId="7" fillId="4" borderId="0" xfId="6" applyNumberFormat="1" applyFont="1" applyFill="1" applyBorder="1" applyAlignment="1">
      <alignment horizontal="center" vertical="center" wrapText="1"/>
    </xf>
    <xf numFmtId="0" fontId="7" fillId="4" borderId="3" xfId="6" applyFont="1" applyFill="1" applyBorder="1" applyAlignment="1">
      <alignment horizontal="center" vertical="center" wrapText="1"/>
    </xf>
    <xf numFmtId="1" fontId="7" fillId="4" borderId="3" xfId="6" applyNumberFormat="1" applyFont="1" applyFill="1" applyBorder="1" applyAlignment="1">
      <alignment horizontal="center" vertical="center" wrapText="1"/>
    </xf>
    <xf numFmtId="1" fontId="7" fillId="4" borderId="3" xfId="6" applyNumberFormat="1" applyFont="1" applyFill="1" applyBorder="1" applyAlignment="1">
      <alignment horizontal="right" vertical="center" wrapText="1"/>
    </xf>
    <xf numFmtId="0" fontId="7" fillId="4" borderId="3" xfId="6" applyFont="1" applyFill="1" applyBorder="1" applyAlignment="1">
      <alignment vertical="center" wrapText="1"/>
    </xf>
    <xf numFmtId="1" fontId="7" fillId="4" borderId="8" xfId="6" applyNumberFormat="1" applyFont="1" applyFill="1" applyBorder="1" applyAlignment="1">
      <alignment horizontal="right" vertical="center" wrapText="1"/>
    </xf>
    <xf numFmtId="3" fontId="7" fillId="4" borderId="8" xfId="6" applyNumberFormat="1" applyFont="1" applyFill="1" applyBorder="1" applyAlignment="1">
      <alignment vertical="center" wrapText="1"/>
    </xf>
    <xf numFmtId="1" fontId="7" fillId="4" borderId="8" xfId="6" applyNumberFormat="1" applyFont="1" applyFill="1" applyBorder="1" applyAlignment="1">
      <alignment horizontal="left" vertical="center" wrapText="1"/>
    </xf>
    <xf numFmtId="0" fontId="7" fillId="5" borderId="0" xfId="3" applyFont="1" applyFill="1" applyBorder="1" applyAlignment="1">
      <alignment horizontal="center" vertical="center" wrapText="1"/>
    </xf>
    <xf numFmtId="0" fontId="7" fillId="5" borderId="0" xfId="3" applyFont="1" applyFill="1" applyBorder="1" applyAlignment="1">
      <alignment vertical="center" wrapText="1"/>
    </xf>
    <xf numFmtId="0" fontId="7" fillId="3" borderId="3" xfId="3" applyFont="1" applyFill="1" applyBorder="1" applyAlignment="1">
      <alignment vertical="center" wrapText="1"/>
    </xf>
    <xf numFmtId="0" fontId="7" fillId="4" borderId="3" xfId="3" applyFont="1" applyFill="1" applyBorder="1" applyAlignment="1">
      <alignment horizontal="center" vertical="center" wrapText="1"/>
    </xf>
    <xf numFmtId="1" fontId="7" fillId="4" borderId="3" xfId="3" applyNumberFormat="1" applyFont="1" applyFill="1" applyBorder="1" applyAlignment="1">
      <alignment vertical="center" wrapText="1"/>
    </xf>
    <xf numFmtId="1" fontId="7" fillId="4" borderId="3" xfId="3" applyNumberFormat="1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vertical="center" wrapText="1"/>
    </xf>
    <xf numFmtId="1" fontId="7" fillId="4" borderId="2" xfId="7" applyNumberFormat="1" applyFont="1" applyFill="1" applyBorder="1" applyAlignment="1">
      <alignment horizontal="right" vertical="center" wrapText="1"/>
    </xf>
    <xf numFmtId="0" fontId="7" fillId="4" borderId="2" xfId="7" applyFont="1" applyFill="1" applyBorder="1" applyAlignment="1">
      <alignment horizontal="right" vertical="center" wrapText="1"/>
    </xf>
    <xf numFmtId="0" fontId="7" fillId="4" borderId="2" xfId="8" applyFont="1" applyFill="1" applyBorder="1" applyAlignment="1">
      <alignment horizontal="right" vertical="center" wrapText="1"/>
    </xf>
    <xf numFmtId="1" fontId="7" fillId="4" borderId="2" xfId="7" applyNumberFormat="1" applyFont="1" applyFill="1" applyBorder="1" applyAlignment="1">
      <alignment horizontal="left" vertical="center" wrapText="1"/>
    </xf>
    <xf numFmtId="1" fontId="7" fillId="4" borderId="0" xfId="7" applyNumberFormat="1" applyFont="1" applyFill="1" applyBorder="1" applyAlignment="1">
      <alignment horizontal="right" vertical="center" wrapText="1"/>
    </xf>
    <xf numFmtId="0" fontId="7" fillId="4" borderId="0" xfId="7" applyFont="1" applyFill="1" applyBorder="1" applyAlignment="1">
      <alignment horizontal="right" vertical="center" wrapText="1"/>
    </xf>
    <xf numFmtId="1" fontId="7" fillId="4" borderId="0" xfId="8" applyNumberFormat="1" applyFont="1" applyFill="1" applyBorder="1" applyAlignment="1">
      <alignment horizontal="right" vertical="center" wrapText="1"/>
    </xf>
    <xf numFmtId="1" fontId="7" fillId="4" borderId="0" xfId="7" applyNumberFormat="1" applyFont="1" applyFill="1" applyBorder="1" applyAlignment="1">
      <alignment horizontal="center" vertical="center" wrapText="1"/>
    </xf>
    <xf numFmtId="0" fontId="0" fillId="5" borderId="2" xfId="0" applyFill="1" applyBorder="1"/>
    <xf numFmtId="0" fontId="7" fillId="4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4" borderId="0" xfId="5" applyFont="1" applyFill="1" applyBorder="1" applyAlignment="1">
      <alignment vertical="center" wrapText="1"/>
    </xf>
    <xf numFmtId="0" fontId="7" fillId="4" borderId="0" xfId="5" applyFont="1" applyFill="1" applyBorder="1" applyAlignment="1">
      <alignment horizontal="right" vertical="center" wrapText="1"/>
    </xf>
    <xf numFmtId="0" fontId="7" fillId="5" borderId="3" xfId="5" applyNumberFormat="1" applyFont="1" applyFill="1" applyBorder="1" applyAlignment="1">
      <alignment horizontal="right" vertical="center" wrapText="1"/>
    </xf>
    <xf numFmtId="0" fontId="7" fillId="4" borderId="3" xfId="5" applyNumberFormat="1" applyFont="1" applyFill="1" applyBorder="1" applyAlignment="1">
      <alignment horizontal="right" vertical="center" wrapText="1"/>
    </xf>
    <xf numFmtId="0" fontId="0" fillId="0" borderId="3" xfId="0" applyNumberFormat="1" applyBorder="1"/>
    <xf numFmtId="3" fontId="7" fillId="4" borderId="6" xfId="7" applyNumberFormat="1" applyFont="1" applyFill="1" applyBorder="1" applyAlignment="1">
      <alignment vertical="center" wrapText="1"/>
    </xf>
    <xf numFmtId="0" fontId="7" fillId="5" borderId="0" xfId="8" applyFont="1" applyFill="1" applyBorder="1" applyAlignment="1">
      <alignment vertical="center" wrapText="1"/>
    </xf>
    <xf numFmtId="0" fontId="7" fillId="4" borderId="0" xfId="8" applyFont="1" applyFill="1" applyBorder="1" applyAlignment="1">
      <alignment horizontal="center" vertical="center" wrapText="1"/>
    </xf>
    <xf numFmtId="1" fontId="7" fillId="4" borderId="0" xfId="8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3" fontId="7" fillId="4" borderId="6" xfId="5" applyNumberFormat="1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right" wrapText="1"/>
    </xf>
    <xf numFmtId="0" fontId="7" fillId="4" borderId="0" xfId="4" applyFont="1" applyFill="1" applyBorder="1" applyAlignment="1">
      <alignment vertical="center" wrapText="1"/>
    </xf>
    <xf numFmtId="0" fontId="7" fillId="4" borderId="0" xfId="4" applyFont="1" applyFill="1" applyBorder="1" applyAlignment="1">
      <alignment horizontal="right" vertical="center" wrapText="1"/>
    </xf>
    <xf numFmtId="0" fontId="7" fillId="4" borderId="3" xfId="4" applyFont="1" applyFill="1" applyBorder="1" applyAlignment="1">
      <alignment vertical="center" wrapText="1"/>
    </xf>
    <xf numFmtId="0" fontId="7" fillId="4" borderId="3" xfId="4" applyFont="1" applyFill="1" applyBorder="1" applyAlignment="1">
      <alignment horizontal="right" vertical="center" wrapText="1"/>
    </xf>
    <xf numFmtId="1" fontId="7" fillId="4" borderId="3" xfId="4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5" borderId="3" xfId="0" applyFont="1" applyFill="1" applyBorder="1"/>
    <xf numFmtId="1" fontId="7" fillId="5" borderId="3" xfId="0" applyNumberFormat="1" applyFont="1" applyFill="1" applyBorder="1" applyAlignment="1">
      <alignment horizontal="right" vertical="center" wrapTex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vertical="center" wrapText="1"/>
    </xf>
    <xf numFmtId="0" fontId="9" fillId="0" borderId="0" xfId="0" applyFont="1" applyBorder="1" applyAlignment="1"/>
    <xf numFmtId="0" fontId="8" fillId="5" borderId="8" xfId="0" applyFont="1" applyFill="1" applyBorder="1" applyAlignment="1">
      <alignment vertical="center" wrapText="1"/>
    </xf>
    <xf numFmtId="1" fontId="8" fillId="5" borderId="8" xfId="0" applyNumberFormat="1" applyFont="1" applyFill="1" applyBorder="1" applyAlignment="1">
      <alignment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3" fontId="7" fillId="4" borderId="6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9" fillId="0" borderId="4" xfId="0" applyFont="1" applyBorder="1" applyAlignment="1"/>
    <xf numFmtId="3" fontId="7" fillId="4" borderId="8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 applyAlignment="1"/>
    <xf numFmtId="3" fontId="7" fillId="0" borderId="0" xfId="12" applyNumberFormat="1" applyFont="1" applyFill="1" applyBorder="1" applyAlignment="1">
      <alignment vertical="center" wrapText="1"/>
    </xf>
    <xf numFmtId="3" fontId="7" fillId="0" borderId="0" xfId="13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left" vertical="center" wrapText="1"/>
    </xf>
    <xf numFmtId="1" fontId="9" fillId="0" borderId="0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7" fillId="0" borderId="4" xfId="0" applyFont="1" applyFill="1" applyBorder="1" applyAlignment="1">
      <alignment horizontal="right" vertical="center" wrapText="1"/>
    </xf>
    <xf numFmtId="3" fontId="7" fillId="0" borderId="4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right" vertical="center" wrapText="1"/>
    </xf>
    <xf numFmtId="3" fontId="7" fillId="0" borderId="2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" fontId="0" fillId="0" borderId="0" xfId="0" applyNumberFormat="1" applyFill="1"/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1" fontId="1" fillId="0" borderId="0" xfId="0" applyNumberFormat="1" applyFont="1" applyFill="1"/>
    <xf numFmtId="0" fontId="7" fillId="0" borderId="8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/>
    </xf>
    <xf numFmtId="1" fontId="0" fillId="0" borderId="8" xfId="0" applyNumberForma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horizontal="left" vertical="center" wrapText="1"/>
    </xf>
    <xf numFmtId="3" fontId="7" fillId="0" borderId="5" xfId="0" applyNumberFormat="1" applyFont="1" applyFill="1" applyBorder="1" applyAlignment="1">
      <alignment vertical="center" wrapText="1"/>
    </xf>
    <xf numFmtId="166" fontId="7" fillId="0" borderId="5" xfId="0" applyNumberFormat="1" applyFont="1" applyFill="1" applyBorder="1" applyAlignment="1">
      <alignment vertical="center" wrapText="1"/>
    </xf>
    <xf numFmtId="0" fontId="6" fillId="0" borderId="0" xfId="0" applyFont="1" applyFill="1"/>
    <xf numFmtId="0" fontId="8" fillId="0" borderId="6" xfId="0" applyFont="1" applyFill="1" applyBorder="1" applyAlignment="1">
      <alignment horizontal="right" vertical="center" wrapText="1"/>
    </xf>
    <xf numFmtId="3" fontId="7" fillId="0" borderId="6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vertical="center" wrapText="1"/>
    </xf>
    <xf numFmtId="3" fontId="8" fillId="0" borderId="0" xfId="0" applyNumberFormat="1" applyFont="1" applyFill="1" applyBorder="1" applyAlignment="1"/>
    <xf numFmtId="3" fontId="8" fillId="0" borderId="6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right" vertical="center" wrapText="1"/>
    </xf>
    <xf numFmtId="3" fontId="7" fillId="0" borderId="7" xfId="0" applyNumberFormat="1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0" fillId="0" borderId="7" xfId="0" applyFill="1" applyBorder="1"/>
    <xf numFmtId="0" fontId="8" fillId="0" borderId="8" xfId="0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8" xfId="0" applyNumberFormat="1" applyFont="1" applyFill="1" applyBorder="1" applyAlignment="1"/>
    <xf numFmtId="1" fontId="8" fillId="0" borderId="8" xfId="0" applyNumberFormat="1" applyFont="1" applyFill="1" applyBorder="1" applyAlignment="1">
      <alignment horizontal="left" vertical="center" wrapText="1"/>
    </xf>
    <xf numFmtId="0" fontId="0" fillId="0" borderId="8" xfId="0" applyFill="1" applyBorder="1"/>
    <xf numFmtId="0" fontId="7" fillId="0" borderId="0" xfId="9" applyFont="1" applyFill="1" applyBorder="1" applyAlignment="1">
      <alignment horizontal="right" vertical="center" wrapText="1"/>
    </xf>
    <xf numFmtId="3" fontId="7" fillId="0" borderId="0" xfId="9" applyNumberFormat="1" applyFont="1" applyFill="1" applyBorder="1" applyAlignment="1">
      <alignment vertical="center" wrapText="1"/>
    </xf>
    <xf numFmtId="1" fontId="7" fillId="0" borderId="0" xfId="9" applyNumberFormat="1" applyFont="1" applyFill="1" applyBorder="1" applyAlignment="1">
      <alignment horizontal="left" vertical="center" wrapText="1"/>
    </xf>
    <xf numFmtId="0" fontId="7" fillId="0" borderId="0" xfId="9" applyFont="1" applyFill="1" applyBorder="1" applyAlignment="1">
      <alignment horizontal="left" vertical="center" wrapText="1"/>
    </xf>
    <xf numFmtId="1" fontId="7" fillId="0" borderId="0" xfId="9" applyNumberFormat="1" applyFont="1" applyFill="1" applyBorder="1" applyAlignment="1">
      <alignment horizontal="right" vertical="center" wrapText="1"/>
    </xf>
    <xf numFmtId="0" fontId="7" fillId="0" borderId="8" xfId="9" applyFont="1" applyFill="1" applyBorder="1" applyAlignment="1">
      <alignment vertical="center" wrapText="1"/>
    </xf>
    <xf numFmtId="3" fontId="7" fillId="0" borderId="8" xfId="9" applyNumberFormat="1" applyFont="1" applyFill="1" applyBorder="1" applyAlignment="1">
      <alignment vertical="center" wrapText="1"/>
    </xf>
    <xf numFmtId="1" fontId="7" fillId="0" borderId="0" xfId="10" applyNumberFormat="1" applyFont="1" applyFill="1" applyBorder="1" applyAlignment="1">
      <alignment horizontal="right" vertical="center" wrapText="1"/>
    </xf>
    <xf numFmtId="3" fontId="7" fillId="0" borderId="0" xfId="10" applyNumberFormat="1" applyFont="1" applyFill="1" applyBorder="1" applyAlignment="1">
      <alignment vertical="center" wrapText="1"/>
    </xf>
    <xf numFmtId="1" fontId="7" fillId="0" borderId="0" xfId="10" applyNumberFormat="1" applyFont="1" applyFill="1" applyBorder="1" applyAlignment="1">
      <alignment horizontal="left" vertical="center" wrapText="1"/>
    </xf>
    <xf numFmtId="0" fontId="7" fillId="0" borderId="0" xfId="10" applyFont="1" applyFill="1" applyBorder="1" applyAlignment="1">
      <alignment horizontal="right" vertical="center" wrapText="1"/>
    </xf>
    <xf numFmtId="0" fontId="7" fillId="0" borderId="0" xfId="10" applyFont="1" applyFill="1" applyBorder="1" applyAlignment="1">
      <alignment horizontal="left" vertical="center" wrapText="1"/>
    </xf>
    <xf numFmtId="0" fontId="7" fillId="0" borderId="8" xfId="10" applyFont="1" applyFill="1" applyBorder="1" applyAlignment="1">
      <alignment vertical="center" wrapText="1"/>
    </xf>
    <xf numFmtId="3" fontId="7" fillId="0" borderId="8" xfId="10" applyNumberFormat="1" applyFont="1" applyFill="1" applyBorder="1" applyAlignment="1">
      <alignment vertical="center" wrapText="1"/>
    </xf>
    <xf numFmtId="0" fontId="7" fillId="0" borderId="0" xfId="4" applyFont="1" applyFill="1" applyBorder="1" applyAlignment="1">
      <alignment horizontal="right" vertical="center" wrapText="1"/>
    </xf>
    <xf numFmtId="0" fontId="7" fillId="0" borderId="0" xfId="4" applyFont="1" applyFill="1" applyBorder="1" applyAlignment="1">
      <alignment horizontal="left" vertical="center" wrapText="1"/>
    </xf>
    <xf numFmtId="1" fontId="7" fillId="0" borderId="0" xfId="4" applyNumberFormat="1" applyFont="1" applyFill="1" applyBorder="1" applyAlignment="1">
      <alignment horizontal="right" vertical="center" wrapText="1"/>
    </xf>
    <xf numFmtId="1" fontId="7" fillId="0" borderId="0" xfId="4" applyNumberFormat="1" applyFont="1" applyFill="1" applyBorder="1" applyAlignment="1">
      <alignment horizontal="left" vertical="center" wrapText="1"/>
    </xf>
    <xf numFmtId="0" fontId="7" fillId="0" borderId="8" xfId="4" applyFont="1" applyFill="1" applyBorder="1" applyAlignment="1">
      <alignment vertical="center" wrapText="1"/>
    </xf>
    <xf numFmtId="3" fontId="7" fillId="0" borderId="0" xfId="14" applyNumberFormat="1" applyFont="1" applyFill="1" applyBorder="1" applyAlignment="1">
      <alignment vertical="center" wrapText="1"/>
    </xf>
    <xf numFmtId="3" fontId="7" fillId="0" borderId="0" xfId="15" applyNumberFormat="1" applyFont="1" applyFill="1" applyBorder="1" applyAlignment="1">
      <alignment vertical="center" wrapText="1"/>
    </xf>
    <xf numFmtId="3" fontId="7" fillId="0" borderId="0" xfId="16" applyNumberFormat="1" applyFont="1" applyFill="1" applyBorder="1" applyAlignment="1">
      <alignment vertical="center" wrapText="1"/>
    </xf>
    <xf numFmtId="0" fontId="0" fillId="0" borderId="3" xfId="0" applyFill="1" applyBorder="1"/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right" vertical="center" wrapText="1"/>
    </xf>
    <xf numFmtId="1" fontId="7" fillId="0" borderId="8" xfId="0" applyNumberFormat="1" applyFont="1" applyFill="1" applyBorder="1" applyAlignment="1">
      <alignment horizontal="left" vertical="center" wrapText="1"/>
    </xf>
    <xf numFmtId="0" fontId="7" fillId="0" borderId="0" xfId="11" applyFont="1" applyFill="1" applyBorder="1" applyAlignment="1">
      <alignment horizontal="right" vertical="center" wrapText="1"/>
    </xf>
    <xf numFmtId="3" fontId="7" fillId="0" borderId="0" xfId="11" applyNumberFormat="1" applyFont="1" applyFill="1" applyBorder="1" applyAlignment="1">
      <alignment vertical="center" wrapText="1"/>
    </xf>
    <xf numFmtId="0" fontId="7" fillId="0" borderId="0" xfId="11" applyFont="1" applyFill="1" applyBorder="1" applyAlignment="1">
      <alignment horizontal="left" vertical="center" wrapText="1"/>
    </xf>
    <xf numFmtId="1" fontId="7" fillId="0" borderId="0" xfId="11" applyNumberFormat="1" applyFont="1" applyFill="1" applyBorder="1" applyAlignment="1">
      <alignment horizontal="right" vertical="center" wrapText="1"/>
    </xf>
    <xf numFmtId="1" fontId="7" fillId="0" borderId="0" xfId="11" applyNumberFormat="1" applyFont="1" applyFill="1" applyBorder="1" applyAlignment="1">
      <alignment horizontal="left" vertical="center" wrapText="1"/>
    </xf>
    <xf numFmtId="1" fontId="9" fillId="0" borderId="0" xfId="11" applyNumberFormat="1" applyFont="1" applyFill="1" applyBorder="1" applyAlignment="1">
      <alignment horizontal="left" vertical="center" wrapText="1"/>
    </xf>
    <xf numFmtId="1" fontId="7" fillId="0" borderId="8" xfId="11" applyNumberFormat="1" applyFont="1" applyFill="1" applyBorder="1" applyAlignment="1">
      <alignment horizontal="right" vertical="center" wrapText="1"/>
    </xf>
    <xf numFmtId="3" fontId="7" fillId="0" borderId="8" xfId="11" applyNumberFormat="1" applyFont="1" applyFill="1" applyBorder="1" applyAlignment="1">
      <alignment vertical="center" wrapText="1"/>
    </xf>
    <xf numFmtId="1" fontId="7" fillId="0" borderId="8" xfId="11" applyNumberFormat="1" applyFont="1" applyFill="1" applyBorder="1" applyAlignment="1">
      <alignment horizontal="left" vertical="center" wrapText="1"/>
    </xf>
    <xf numFmtId="0" fontId="0" fillId="0" borderId="1" xfId="0" applyFill="1" applyBorder="1"/>
    <xf numFmtId="0" fontId="7" fillId="0" borderId="0" xfId="2" applyFont="1" applyFill="1" applyBorder="1" applyAlignment="1">
      <alignment horizontal="right" vertical="center" wrapText="1"/>
    </xf>
    <xf numFmtId="3" fontId="7" fillId="0" borderId="0" xfId="2" applyNumberFormat="1" applyFont="1" applyFill="1" applyBorder="1" applyAlignment="1">
      <alignment vertical="center" wrapText="1"/>
    </xf>
    <xf numFmtId="1" fontId="7" fillId="0" borderId="0" xfId="2" applyNumberFormat="1" applyFont="1" applyFill="1" applyBorder="1" applyAlignment="1">
      <alignment horizontal="right" vertical="center" wrapText="1"/>
    </xf>
    <xf numFmtId="1" fontId="7" fillId="0" borderId="0" xfId="2" applyNumberFormat="1" applyFont="1" applyFill="1" applyBorder="1" applyAlignment="1">
      <alignment horizontal="left" vertical="center" wrapText="1"/>
    </xf>
    <xf numFmtId="0" fontId="7" fillId="0" borderId="8" xfId="2" applyFont="1" applyFill="1" applyBorder="1" applyAlignment="1">
      <alignment vertical="center" wrapText="1"/>
    </xf>
    <xf numFmtId="3" fontId="7" fillId="0" borderId="8" xfId="2" applyNumberFormat="1" applyFont="1" applyFill="1" applyBorder="1" applyAlignment="1">
      <alignment vertical="center" wrapText="1"/>
    </xf>
    <xf numFmtId="0" fontId="7" fillId="0" borderId="8" xfId="2" applyFont="1" applyFill="1" applyBorder="1" applyAlignment="1">
      <alignment horizontal="left" vertical="center" wrapText="1"/>
    </xf>
    <xf numFmtId="0" fontId="7" fillId="0" borderId="0" xfId="6" applyFont="1" applyFill="1" applyBorder="1" applyAlignment="1">
      <alignment horizontal="right" vertical="center" wrapText="1"/>
    </xf>
    <xf numFmtId="3" fontId="7" fillId="0" borderId="0" xfId="6" applyNumberFormat="1" applyFont="1" applyFill="1" applyBorder="1" applyAlignment="1">
      <alignment vertical="center" wrapText="1"/>
    </xf>
    <xf numFmtId="0" fontId="7" fillId="0" borderId="0" xfId="6" applyFont="1" applyFill="1" applyBorder="1" applyAlignment="1">
      <alignment horizontal="left" vertical="center" wrapText="1"/>
    </xf>
    <xf numFmtId="1" fontId="7" fillId="0" borderId="0" xfId="6" applyNumberFormat="1" applyFont="1" applyFill="1" applyBorder="1" applyAlignment="1">
      <alignment horizontal="right" vertical="center" wrapText="1"/>
    </xf>
    <xf numFmtId="1" fontId="7" fillId="0" borderId="0" xfId="6" applyNumberFormat="1" applyFont="1" applyFill="1" applyBorder="1" applyAlignment="1">
      <alignment horizontal="left" vertical="center" wrapText="1"/>
    </xf>
    <xf numFmtId="3" fontId="7" fillId="0" borderId="0" xfId="6" applyNumberFormat="1" applyFont="1" applyFill="1" applyBorder="1" applyAlignment="1">
      <alignment horizontal="left" vertical="center" wrapText="1"/>
    </xf>
    <xf numFmtId="1" fontId="7" fillId="0" borderId="8" xfId="6" applyNumberFormat="1" applyFont="1" applyFill="1" applyBorder="1" applyAlignment="1">
      <alignment horizontal="right" vertical="center" wrapText="1"/>
    </xf>
    <xf numFmtId="3" fontId="7" fillId="0" borderId="8" xfId="6" applyNumberFormat="1" applyFont="1" applyFill="1" applyBorder="1" applyAlignment="1">
      <alignment vertical="center" wrapText="1"/>
    </xf>
    <xf numFmtId="3" fontId="7" fillId="0" borderId="8" xfId="6" applyNumberFormat="1" applyFont="1" applyFill="1" applyBorder="1" applyAlignment="1">
      <alignment horizontal="left" vertical="center" wrapText="1"/>
    </xf>
    <xf numFmtId="0" fontId="7" fillId="0" borderId="4" xfId="6" applyFont="1" applyFill="1" applyBorder="1" applyAlignment="1">
      <alignment horizontal="right" vertical="center" wrapText="1"/>
    </xf>
    <xf numFmtId="3" fontId="7" fillId="0" borderId="4" xfId="7" applyNumberFormat="1" applyFont="1" applyFill="1" applyBorder="1" applyAlignment="1">
      <alignment vertical="center" wrapText="1"/>
    </xf>
    <xf numFmtId="3" fontId="7" fillId="0" borderId="4" xfId="8" applyNumberFormat="1" applyFont="1" applyFill="1" applyBorder="1" applyAlignment="1">
      <alignment vertical="center" wrapText="1"/>
    </xf>
    <xf numFmtId="3" fontId="7" fillId="0" borderId="4" xfId="6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/>
    <xf numFmtId="3" fontId="7" fillId="0" borderId="0" xfId="7" applyNumberFormat="1" applyFont="1" applyFill="1" applyBorder="1" applyAlignment="1">
      <alignment vertical="center" wrapText="1"/>
    </xf>
    <xf numFmtId="3" fontId="7" fillId="0" borderId="0" xfId="8" applyNumberFormat="1" applyFont="1" applyFill="1" applyBorder="1" applyAlignment="1">
      <alignment vertical="center" wrapText="1"/>
    </xf>
    <xf numFmtId="3" fontId="9" fillId="0" borderId="0" xfId="6" applyNumberFormat="1" applyFont="1" applyFill="1" applyBorder="1" applyAlignment="1">
      <alignment horizontal="left" vertical="center" wrapText="1"/>
    </xf>
    <xf numFmtId="0" fontId="7" fillId="0" borderId="8" xfId="7" applyFont="1" applyFill="1" applyBorder="1" applyAlignment="1">
      <alignment vertical="center" wrapText="1"/>
    </xf>
    <xf numFmtId="3" fontId="7" fillId="0" borderId="8" xfId="7" applyNumberFormat="1" applyFont="1" applyFill="1" applyBorder="1" applyAlignment="1">
      <alignment vertical="center" wrapText="1"/>
    </xf>
    <xf numFmtId="0" fontId="7" fillId="0" borderId="8" xfId="7" applyFont="1" applyFill="1" applyBorder="1" applyAlignment="1">
      <alignment horizontal="left" vertical="center" wrapText="1"/>
    </xf>
    <xf numFmtId="1" fontId="7" fillId="0" borderId="0" xfId="7" applyNumberFormat="1" applyFont="1" applyFill="1" applyBorder="1" applyAlignment="1">
      <alignment horizontal="right" vertical="center" wrapText="1"/>
    </xf>
    <xf numFmtId="3" fontId="7" fillId="0" borderId="0" xfId="7" applyNumberFormat="1" applyFont="1" applyFill="1" applyBorder="1" applyAlignment="1">
      <alignment horizontal="left" vertical="center" wrapText="1"/>
    </xf>
    <xf numFmtId="3" fontId="7" fillId="0" borderId="3" xfId="7" applyNumberFormat="1" applyFont="1" applyFill="1" applyBorder="1" applyAlignment="1">
      <alignment horizontal="left" vertical="center" wrapText="1"/>
    </xf>
    <xf numFmtId="0" fontId="7" fillId="0" borderId="6" xfId="5" applyFont="1" applyFill="1" applyBorder="1" applyAlignment="1">
      <alignment horizontal="right" vertical="center" wrapText="1"/>
    </xf>
    <xf numFmtId="3" fontId="7" fillId="0" borderId="6" xfId="7" applyNumberFormat="1" applyFont="1" applyFill="1" applyBorder="1" applyAlignment="1">
      <alignment vertical="center" wrapText="1"/>
    </xf>
    <xf numFmtId="0" fontId="7" fillId="0" borderId="6" xfId="5" applyFont="1" applyFill="1" applyBorder="1" applyAlignment="1">
      <alignment horizontal="left" vertical="center" wrapText="1"/>
    </xf>
    <xf numFmtId="3" fontId="7" fillId="0" borderId="0" xfId="0" applyNumberFormat="1" applyFont="1" applyFill="1" applyBorder="1"/>
    <xf numFmtId="3" fontId="7" fillId="0" borderId="3" xfId="0" applyNumberFormat="1" applyFont="1" applyFill="1" applyBorder="1"/>
    <xf numFmtId="0" fontId="7" fillId="0" borderId="8" xfId="5" applyFont="1" applyFill="1" applyBorder="1" applyAlignment="1">
      <alignment horizontal="right" vertical="center" wrapText="1"/>
    </xf>
    <xf numFmtId="3" fontId="7" fillId="0" borderId="8" xfId="8" applyNumberFormat="1" applyFont="1" applyFill="1" applyBorder="1" applyAlignment="1">
      <alignment vertical="center" wrapText="1"/>
    </xf>
    <xf numFmtId="0" fontId="7" fillId="0" borderId="8" xfId="5" applyFont="1" applyFill="1" applyBorder="1" applyAlignment="1">
      <alignment horizontal="left" vertical="center" wrapText="1"/>
    </xf>
    <xf numFmtId="3" fontId="8" fillId="0" borderId="0" xfId="7" applyNumberFormat="1" applyFont="1" applyFill="1" applyBorder="1" applyAlignment="1">
      <alignment vertical="center" wrapText="1"/>
    </xf>
    <xf numFmtId="3" fontId="8" fillId="0" borderId="0" xfId="8" applyNumberFormat="1" applyFont="1" applyFill="1" applyBorder="1" applyAlignment="1">
      <alignment vertical="center" wrapText="1"/>
    </xf>
    <xf numFmtId="3" fontId="8" fillId="0" borderId="0" xfId="7" applyNumberFormat="1" applyFont="1" applyFill="1" applyBorder="1" applyAlignment="1">
      <alignment horizontal="left" vertical="center" wrapText="1"/>
    </xf>
    <xf numFmtId="3" fontId="8" fillId="0" borderId="8" xfId="7" applyNumberFormat="1" applyFont="1" applyFill="1" applyBorder="1" applyAlignment="1">
      <alignment vertical="center" wrapText="1"/>
    </xf>
    <xf numFmtId="3" fontId="8" fillId="0" borderId="8" xfId="5" applyNumberFormat="1" applyFont="1" applyFill="1" applyBorder="1" applyAlignment="1">
      <alignment vertical="center" wrapText="1"/>
    </xf>
    <xf numFmtId="3" fontId="8" fillId="0" borderId="8" xfId="7" applyNumberFormat="1" applyFont="1" applyFill="1" applyBorder="1" applyAlignment="1">
      <alignment horizontal="left" vertical="center" wrapText="1"/>
    </xf>
    <xf numFmtId="3" fontId="7" fillId="0" borderId="6" xfId="5" applyNumberFormat="1" applyFont="1" applyFill="1" applyBorder="1" applyAlignment="1">
      <alignment vertical="center" wrapText="1"/>
    </xf>
    <xf numFmtId="2" fontId="0" fillId="0" borderId="0" xfId="0" applyNumberFormat="1" applyFill="1" applyBorder="1"/>
    <xf numFmtId="3" fontId="7" fillId="0" borderId="0" xfId="7" applyNumberFormat="1" applyFont="1" applyFill="1" applyBorder="1" applyAlignment="1">
      <alignment horizontal="right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left" vertical="center" wrapText="1"/>
    </xf>
    <xf numFmtId="3" fontId="7" fillId="7" borderId="0" xfId="0" applyNumberFormat="1" applyFont="1" applyFill="1" applyBorder="1" applyAlignment="1">
      <alignment horizontal="left" vertical="center" wrapText="1"/>
    </xf>
    <xf numFmtId="3" fontId="7" fillId="4" borderId="0" xfId="0" applyNumberFormat="1" applyFont="1" applyFill="1" applyBorder="1" applyAlignment="1">
      <alignment horizontal="left" vertical="center" wrapText="1"/>
    </xf>
    <xf numFmtId="0" fontId="8" fillId="6" borderId="0" xfId="0" applyFont="1" applyFill="1"/>
    <xf numFmtId="0" fontId="8" fillId="5" borderId="0" xfId="0" applyFont="1" applyFill="1"/>
    <xf numFmtId="3" fontId="7" fillId="5" borderId="0" xfId="0" applyNumberFormat="1" applyFont="1" applyFill="1" applyBorder="1" applyAlignment="1">
      <alignment vertical="center" wrapText="1"/>
    </xf>
    <xf numFmtId="0" fontId="8" fillId="6" borderId="0" xfId="0" applyFont="1" applyFill="1" applyAlignment="1">
      <alignment horizontal="right"/>
    </xf>
    <xf numFmtId="0" fontId="8" fillId="5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6" borderId="0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8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1" fontId="7" fillId="6" borderId="0" xfId="0" applyNumberFormat="1" applyFont="1" applyFill="1" applyBorder="1" applyAlignment="1">
      <alignment horizontal="left" vertical="center" wrapText="1"/>
    </xf>
    <xf numFmtId="3" fontId="8" fillId="6" borderId="0" xfId="0" applyNumberFormat="1" applyFont="1" applyFill="1" applyBorder="1" applyAlignment="1">
      <alignment vertical="center" wrapText="1"/>
    </xf>
    <xf numFmtId="3" fontId="8" fillId="6" borderId="0" xfId="0" applyNumberFormat="1" applyFont="1" applyFill="1" applyBorder="1" applyAlignment="1"/>
    <xf numFmtId="1" fontId="8" fillId="6" borderId="0" xfId="0" applyNumberFormat="1" applyFont="1" applyFill="1" applyBorder="1" applyAlignment="1">
      <alignment horizontal="left" vertical="center" wrapText="1"/>
    </xf>
    <xf numFmtId="3" fontId="8" fillId="6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7" fillId="2" borderId="2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7" fillId="2" borderId="3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/>
    </xf>
    <xf numFmtId="0" fontId="7" fillId="2" borderId="0" xfId="0" applyFont="1" applyFill="1" applyAlignment="1">
      <alignment horizontal="right"/>
    </xf>
    <xf numFmtId="0" fontId="7" fillId="3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left" wrapText="1"/>
    </xf>
    <xf numFmtId="0" fontId="7" fillId="7" borderId="0" xfId="0" applyFont="1" applyFill="1" applyBorder="1" applyAlignment="1">
      <alignment horizont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4" borderId="0" xfId="0" applyFont="1" applyFill="1" applyBorder="1" applyAlignment="1">
      <alignment horizontal="left" vertical="center" wrapText="1"/>
    </xf>
    <xf numFmtId="0" fontId="1" fillId="5" borderId="0" xfId="0" applyFont="1" applyFill="1"/>
    <xf numFmtId="0" fontId="7" fillId="6" borderId="0" xfId="4" applyFont="1" applyFill="1" applyBorder="1" applyAlignment="1">
      <alignment horizontal="right" vertical="center" wrapText="1"/>
    </xf>
    <xf numFmtId="0" fontId="7" fillId="6" borderId="0" xfId="4" applyFont="1" applyFill="1" applyBorder="1" applyAlignment="1">
      <alignment horizontal="left" vertical="center" wrapText="1"/>
    </xf>
    <xf numFmtId="1" fontId="7" fillId="6" borderId="0" xfId="4" applyNumberFormat="1" applyFont="1" applyFill="1" applyBorder="1" applyAlignment="1">
      <alignment horizontal="right" vertical="center" wrapText="1"/>
    </xf>
    <xf numFmtId="1" fontId="7" fillId="6" borderId="0" xfId="4" applyNumberFormat="1" applyFont="1" applyFill="1" applyBorder="1" applyAlignment="1">
      <alignment horizontal="left" vertical="center" wrapText="1"/>
    </xf>
    <xf numFmtId="3" fontId="7" fillId="0" borderId="0" xfId="4" applyNumberFormat="1" applyFont="1" applyFill="1" applyBorder="1" applyAlignment="1">
      <alignment horizontal="center" vertical="center" wrapText="1"/>
    </xf>
    <xf numFmtId="3" fontId="7" fillId="6" borderId="0" xfId="4" applyNumberFormat="1" applyFont="1" applyFill="1" applyBorder="1" applyAlignment="1">
      <alignment horizontal="center" vertical="center" wrapText="1"/>
    </xf>
    <xf numFmtId="3" fontId="7" fillId="0" borderId="8" xfId="4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/>
    </xf>
    <xf numFmtId="3" fontId="7" fillId="6" borderId="0" xfId="12" applyNumberFormat="1" applyFont="1" applyFill="1" applyBorder="1" applyAlignment="1">
      <alignment vertical="center" wrapText="1"/>
    </xf>
    <xf numFmtId="3" fontId="7" fillId="6" borderId="0" xfId="13" applyNumberFormat="1" applyFont="1" applyFill="1" applyBorder="1" applyAlignment="1">
      <alignment vertical="center" wrapText="1"/>
    </xf>
    <xf numFmtId="1" fontId="7" fillId="6" borderId="0" xfId="0" applyNumberFormat="1" applyFont="1" applyFill="1" applyBorder="1" applyAlignment="1">
      <alignment horizontal="right" vertical="center" wrapText="1"/>
    </xf>
    <xf numFmtId="3" fontId="7" fillId="6" borderId="0" xfId="14" applyNumberFormat="1" applyFont="1" applyFill="1" applyBorder="1" applyAlignment="1">
      <alignment vertical="center" wrapText="1"/>
    </xf>
    <xf numFmtId="3" fontId="7" fillId="6" borderId="0" xfId="15" applyNumberFormat="1" applyFont="1" applyFill="1" applyBorder="1" applyAlignment="1">
      <alignment vertical="center" wrapText="1"/>
    </xf>
    <xf numFmtId="3" fontId="7" fillId="6" borderId="0" xfId="16" applyNumberFormat="1" applyFont="1" applyFill="1" applyBorder="1" applyAlignment="1">
      <alignment vertical="center" wrapText="1"/>
    </xf>
    <xf numFmtId="1" fontId="0" fillId="6" borderId="0" xfId="0" applyNumberFormat="1" applyFill="1"/>
    <xf numFmtId="1" fontId="7" fillId="6" borderId="3" xfId="0" applyNumberFormat="1" applyFont="1" applyFill="1" applyBorder="1" applyAlignment="1">
      <alignment horizontal="left" vertical="center" wrapText="1"/>
    </xf>
    <xf numFmtId="1" fontId="0" fillId="6" borderId="3" xfId="0" applyNumberFormat="1" applyFill="1" applyBorder="1"/>
    <xf numFmtId="0" fontId="7" fillId="6" borderId="0" xfId="11" applyFont="1" applyFill="1" applyBorder="1" applyAlignment="1">
      <alignment horizontal="right" vertical="center" wrapText="1"/>
    </xf>
    <xf numFmtId="3" fontId="7" fillId="6" borderId="0" xfId="11" applyNumberFormat="1" applyFont="1" applyFill="1" applyBorder="1" applyAlignment="1">
      <alignment vertical="center" wrapText="1"/>
    </xf>
    <xf numFmtId="0" fontId="7" fillId="6" borderId="0" xfId="11" applyFont="1" applyFill="1" applyBorder="1" applyAlignment="1">
      <alignment horizontal="left" vertical="center" wrapText="1"/>
    </xf>
    <xf numFmtId="1" fontId="7" fillId="6" borderId="0" xfId="11" applyNumberFormat="1" applyFont="1" applyFill="1" applyBorder="1" applyAlignment="1">
      <alignment horizontal="right" vertical="center" wrapText="1"/>
    </xf>
    <xf numFmtId="1" fontId="7" fillId="6" borderId="0" xfId="11" applyNumberFormat="1" applyFont="1" applyFill="1" applyBorder="1" applyAlignment="1">
      <alignment horizontal="left" vertical="center" wrapText="1"/>
    </xf>
    <xf numFmtId="0" fontId="7" fillId="6" borderId="0" xfId="2" applyFont="1" applyFill="1" applyBorder="1" applyAlignment="1">
      <alignment horizontal="right" vertical="center" wrapText="1"/>
    </xf>
    <xf numFmtId="3" fontId="7" fillId="6" borderId="0" xfId="2" applyNumberFormat="1" applyFont="1" applyFill="1" applyBorder="1" applyAlignment="1">
      <alignment vertical="center" wrapText="1"/>
    </xf>
    <xf numFmtId="0" fontId="7" fillId="6" borderId="0" xfId="2" applyFont="1" applyFill="1" applyBorder="1" applyAlignment="1">
      <alignment horizontal="left" vertical="center" wrapText="1"/>
    </xf>
    <xf numFmtId="1" fontId="7" fillId="6" borderId="0" xfId="2" applyNumberFormat="1" applyFont="1" applyFill="1" applyBorder="1" applyAlignment="1">
      <alignment horizontal="right" vertical="center" wrapText="1"/>
    </xf>
    <xf numFmtId="1" fontId="7" fillId="6" borderId="0" xfId="2" applyNumberFormat="1" applyFont="1" applyFill="1" applyBorder="1" applyAlignment="1">
      <alignment horizontal="left" vertical="center" wrapText="1"/>
    </xf>
    <xf numFmtId="1" fontId="7" fillId="5" borderId="0" xfId="2" applyNumberFormat="1" applyFont="1" applyFill="1" applyBorder="1" applyAlignment="1">
      <alignment horizontal="right" vertical="center" wrapText="1"/>
    </xf>
    <xf numFmtId="3" fontId="7" fillId="5" borderId="0" xfId="11" applyNumberFormat="1" applyFont="1" applyFill="1" applyBorder="1" applyAlignment="1">
      <alignment vertical="center" wrapText="1"/>
    </xf>
    <xf numFmtId="3" fontId="7" fillId="5" borderId="0" xfId="2" applyNumberFormat="1" applyFont="1" applyFill="1" applyBorder="1" applyAlignment="1">
      <alignment vertical="center" wrapText="1"/>
    </xf>
    <xf numFmtId="1" fontId="7" fillId="5" borderId="0" xfId="2" applyNumberFormat="1" applyFont="1" applyFill="1" applyBorder="1" applyAlignment="1">
      <alignment horizontal="left" vertical="center" wrapText="1"/>
    </xf>
    <xf numFmtId="0" fontId="0" fillId="5" borderId="9" xfId="0" applyFill="1" applyBorder="1" applyAlignment="1">
      <alignment horizontal="right"/>
    </xf>
    <xf numFmtId="0" fontId="7" fillId="6" borderId="0" xfId="6" applyFont="1" applyFill="1" applyBorder="1" applyAlignment="1">
      <alignment horizontal="right" vertical="center" wrapText="1"/>
    </xf>
    <xf numFmtId="3" fontId="7" fillId="6" borderId="0" xfId="6" applyNumberFormat="1" applyFont="1" applyFill="1" applyBorder="1" applyAlignment="1">
      <alignment vertical="center" wrapText="1"/>
    </xf>
    <xf numFmtId="0" fontId="7" fillId="6" borderId="0" xfId="6" applyFont="1" applyFill="1" applyBorder="1" applyAlignment="1">
      <alignment horizontal="left" vertical="center" wrapText="1"/>
    </xf>
    <xf numFmtId="1" fontId="7" fillId="6" borderId="0" xfId="6" applyNumberFormat="1" applyFont="1" applyFill="1" applyBorder="1" applyAlignment="1">
      <alignment horizontal="right" vertical="center" wrapText="1"/>
    </xf>
    <xf numFmtId="1" fontId="7" fillId="6" borderId="0" xfId="6" applyNumberFormat="1" applyFont="1" applyFill="1" applyBorder="1" applyAlignment="1">
      <alignment horizontal="left" vertical="center" wrapText="1"/>
    </xf>
    <xf numFmtId="3" fontId="7" fillId="6" borderId="0" xfId="7" applyNumberFormat="1" applyFont="1" applyFill="1" applyBorder="1" applyAlignment="1">
      <alignment vertical="center" wrapText="1"/>
    </xf>
    <xf numFmtId="3" fontId="7" fillId="6" borderId="0" xfId="8" applyNumberFormat="1" applyFont="1" applyFill="1" applyBorder="1" applyAlignment="1">
      <alignment vertical="center" wrapText="1"/>
    </xf>
    <xf numFmtId="3" fontId="7" fillId="6" borderId="0" xfId="6" applyNumberFormat="1" applyFont="1" applyFill="1" applyBorder="1" applyAlignment="1">
      <alignment horizontal="left" vertical="center" wrapText="1"/>
    </xf>
    <xf numFmtId="3" fontId="9" fillId="6" borderId="0" xfId="6" applyNumberFormat="1" applyFont="1" applyFill="1" applyBorder="1" applyAlignment="1">
      <alignment horizontal="left" vertical="center" wrapText="1"/>
    </xf>
    <xf numFmtId="1" fontId="7" fillId="6" borderId="0" xfId="7" applyNumberFormat="1" applyFont="1" applyFill="1" applyBorder="1" applyAlignment="1">
      <alignment horizontal="right" vertical="center" wrapText="1"/>
    </xf>
    <xf numFmtId="3" fontId="7" fillId="6" borderId="0" xfId="7" applyNumberFormat="1" applyFont="1" applyFill="1" applyBorder="1" applyAlignment="1">
      <alignment horizontal="left" vertical="center" wrapText="1"/>
    </xf>
    <xf numFmtId="0" fontId="7" fillId="6" borderId="0" xfId="7" applyFont="1" applyFill="1" applyBorder="1" applyAlignment="1">
      <alignment horizontal="right" vertical="center" wrapText="1"/>
    </xf>
    <xf numFmtId="0" fontId="0" fillId="0" borderId="8" xfId="0" applyBorder="1"/>
    <xf numFmtId="0" fontId="7" fillId="6" borderId="8" xfId="8" applyFont="1" applyFill="1" applyBorder="1" applyAlignment="1">
      <alignment vertical="center" wrapText="1"/>
    </xf>
    <xf numFmtId="0" fontId="7" fillId="7" borderId="8" xfId="8" applyFont="1" applyFill="1" applyBorder="1" applyAlignment="1">
      <alignment horizontal="center" vertical="center" wrapText="1"/>
    </xf>
    <xf numFmtId="0" fontId="7" fillId="7" borderId="8" xfId="7" applyFont="1" applyFill="1" applyBorder="1" applyAlignment="1">
      <alignment horizontal="center" vertical="center" wrapText="1"/>
    </xf>
    <xf numFmtId="0" fontId="7" fillId="7" borderId="8" xfId="8" applyFont="1" applyFill="1" applyBorder="1" applyAlignment="1">
      <alignment horizontal="left" vertical="center" wrapText="1"/>
    </xf>
    <xf numFmtId="1" fontId="7" fillId="6" borderId="3" xfId="7" applyNumberFormat="1" applyFont="1" applyFill="1" applyBorder="1" applyAlignment="1">
      <alignment horizontal="right" vertical="center" wrapText="1"/>
    </xf>
    <xf numFmtId="3" fontId="7" fillId="6" borderId="3" xfId="7" applyNumberFormat="1" applyFont="1" applyFill="1" applyBorder="1" applyAlignment="1">
      <alignment vertical="center" wrapText="1"/>
    </xf>
    <xf numFmtId="3" fontId="7" fillId="6" borderId="3" xfId="7" applyNumberFormat="1" applyFont="1" applyFill="1" applyBorder="1" applyAlignment="1">
      <alignment horizontal="left" vertical="center" wrapText="1"/>
    </xf>
    <xf numFmtId="3" fontId="8" fillId="6" borderId="0" xfId="7" applyNumberFormat="1" applyFont="1" applyFill="1" applyBorder="1" applyAlignment="1">
      <alignment vertical="center" wrapText="1"/>
    </xf>
    <xf numFmtId="3" fontId="8" fillId="6" borderId="0" xfId="8" applyNumberFormat="1" applyFont="1" applyFill="1" applyBorder="1" applyAlignment="1">
      <alignment vertical="center" wrapText="1"/>
    </xf>
    <xf numFmtId="3" fontId="8" fillId="6" borderId="0" xfId="7" applyNumberFormat="1" applyFont="1" applyFill="1" applyBorder="1" applyAlignment="1">
      <alignment horizontal="left" vertical="center" wrapText="1"/>
    </xf>
    <xf numFmtId="1" fontId="7" fillId="4" borderId="8" xfId="0" applyNumberFormat="1" applyFont="1" applyFill="1" applyBorder="1" applyAlignment="1">
      <alignment horizontal="right" vertical="center" wrapText="1"/>
    </xf>
    <xf numFmtId="2" fontId="7" fillId="6" borderId="0" xfId="7" applyNumberFormat="1" applyFont="1" applyFill="1" applyBorder="1" applyAlignment="1">
      <alignment horizontal="right" vertical="center" wrapText="1"/>
    </xf>
    <xf numFmtId="2" fontId="7" fillId="6" borderId="0" xfId="7" applyNumberFormat="1" applyFont="1" applyFill="1" applyBorder="1" applyAlignment="1">
      <alignment vertical="center" wrapText="1"/>
    </xf>
    <xf numFmtId="2" fontId="7" fillId="6" borderId="0" xfId="7" applyNumberFormat="1" applyFont="1" applyFill="1" applyBorder="1" applyAlignment="1">
      <alignment horizontal="left" vertical="center" wrapText="1"/>
    </xf>
    <xf numFmtId="3" fontId="7" fillId="6" borderId="0" xfId="7" applyNumberFormat="1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vertical="center" wrapText="1"/>
    </xf>
    <xf numFmtId="1" fontId="7" fillId="6" borderId="0" xfId="10" applyNumberFormat="1" applyFont="1" applyFill="1" applyBorder="1" applyAlignment="1">
      <alignment horizontal="right" vertical="center" wrapText="1"/>
    </xf>
    <xf numFmtId="3" fontId="7" fillId="6" borderId="0" xfId="10" applyNumberFormat="1" applyFont="1" applyFill="1" applyBorder="1" applyAlignment="1">
      <alignment vertical="center" wrapText="1"/>
    </xf>
    <xf numFmtId="1" fontId="7" fillId="6" borderId="0" xfId="9" applyNumberFormat="1" applyFont="1" applyFill="1" applyBorder="1" applyAlignment="1">
      <alignment horizontal="left" vertical="center" wrapText="1"/>
    </xf>
    <xf numFmtId="0" fontId="7" fillId="6" borderId="0" xfId="10" applyFont="1" applyFill="1" applyBorder="1" applyAlignment="1">
      <alignment horizontal="right" vertical="center" wrapText="1"/>
    </xf>
    <xf numFmtId="0" fontId="7" fillId="6" borderId="0" xfId="10" applyFont="1" applyFill="1" applyBorder="1" applyAlignment="1">
      <alignment horizontal="left" vertical="center" wrapText="1"/>
    </xf>
    <xf numFmtId="0" fontId="7" fillId="6" borderId="0" xfId="9" applyFont="1" applyFill="1" applyBorder="1" applyAlignment="1">
      <alignment horizontal="right" vertical="center" wrapText="1"/>
    </xf>
    <xf numFmtId="3" fontId="7" fillId="6" borderId="0" xfId="9" applyNumberFormat="1" applyFont="1" applyFill="1" applyBorder="1" applyAlignment="1">
      <alignment vertical="center" wrapText="1"/>
    </xf>
    <xf numFmtId="1" fontId="7" fillId="6" borderId="0" xfId="9" applyNumberFormat="1" applyFont="1" applyFill="1" applyBorder="1" applyAlignment="1">
      <alignment horizontal="right" vertical="center" wrapText="1"/>
    </xf>
    <xf numFmtId="1" fontId="7" fillId="5" borderId="0" xfId="9" applyNumberFormat="1" applyFont="1" applyFill="1" applyBorder="1" applyAlignment="1">
      <alignment horizontal="right" vertical="center" wrapText="1"/>
    </xf>
    <xf numFmtId="3" fontId="7" fillId="5" borderId="0" xfId="9" applyNumberFormat="1" applyFont="1" applyFill="1" applyBorder="1" applyAlignment="1">
      <alignment vertical="center" wrapText="1"/>
    </xf>
    <xf numFmtId="1" fontId="7" fillId="5" borderId="0" xfId="9" applyNumberFormat="1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4" borderId="0" xfId="2" applyFont="1" applyFill="1" applyBorder="1" applyAlignment="1">
      <alignment horizontal="center" vertical="center" wrapText="1"/>
    </xf>
    <xf numFmtId="3" fontId="7" fillId="5" borderId="0" xfId="7" applyNumberFormat="1" applyFont="1" applyFill="1" applyBorder="1" applyAlignment="1">
      <alignment horizontal="right" vertical="center" wrapText="1"/>
    </xf>
    <xf numFmtId="3" fontId="7" fillId="5" borderId="0" xfId="7" applyNumberFormat="1" applyFont="1" applyFill="1" applyBorder="1" applyAlignment="1">
      <alignment vertical="center" wrapText="1"/>
    </xf>
    <xf numFmtId="3" fontId="7" fillId="5" borderId="0" xfId="8" applyNumberFormat="1" applyFont="1" applyFill="1" applyBorder="1" applyAlignment="1">
      <alignment vertical="center" wrapText="1"/>
    </xf>
    <xf numFmtId="3" fontId="8" fillId="5" borderId="0" xfId="7" applyNumberFormat="1" applyFont="1" applyFill="1" applyBorder="1" applyAlignment="1">
      <alignment horizontal="left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right" vertical="center" wrapText="1"/>
    </xf>
    <xf numFmtId="3" fontId="7" fillId="5" borderId="3" xfId="0" applyNumberFormat="1" applyFont="1" applyFill="1" applyBorder="1" applyAlignment="1">
      <alignment horizontal="right" vertical="center" wrapText="1"/>
    </xf>
    <xf numFmtId="3" fontId="7" fillId="6" borderId="0" xfId="0" applyNumberFormat="1" applyFont="1" applyFill="1" applyAlignment="1">
      <alignment horizontal="center"/>
    </xf>
    <xf numFmtId="3" fontId="7" fillId="0" borderId="0" xfId="0" applyNumberFormat="1" applyFont="1" applyFill="1" applyAlignment="1"/>
    <xf numFmtId="3" fontId="7" fillId="6" borderId="0" xfId="0" applyNumberFormat="1" applyFont="1" applyFill="1" applyAlignment="1"/>
    <xf numFmtId="3" fontId="7" fillId="0" borderId="7" xfId="0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/>
    <xf numFmtId="1" fontId="7" fillId="5" borderId="0" xfId="0" applyNumberFormat="1" applyFont="1" applyFill="1" applyBorder="1" applyAlignment="1">
      <alignment horizontal="right" vertical="center" wrapText="1"/>
    </xf>
    <xf numFmtId="3" fontId="7" fillId="5" borderId="0" xfId="14" applyNumberFormat="1" applyFont="1" applyFill="1" applyBorder="1" applyAlignment="1">
      <alignment vertical="center" wrapText="1"/>
    </xf>
    <xf numFmtId="3" fontId="7" fillId="5" borderId="0" xfId="15" applyNumberFormat="1" applyFont="1" applyFill="1" applyBorder="1" applyAlignment="1">
      <alignment vertical="center" wrapText="1"/>
    </xf>
    <xf numFmtId="3" fontId="7" fillId="5" borderId="0" xfId="16" applyNumberFormat="1" applyFont="1" applyFill="1" applyBorder="1" applyAlignment="1">
      <alignment vertical="center" wrapText="1"/>
    </xf>
    <xf numFmtId="1" fontId="7" fillId="5" borderId="0" xfId="0" applyNumberFormat="1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horizontal="center" vertical="center" wrapText="1"/>
    </xf>
    <xf numFmtId="11" fontId="7" fillId="4" borderId="0" xfId="2" applyNumberFormat="1" applyFont="1" applyFill="1" applyBorder="1" applyAlignment="1">
      <alignment horizontal="right" vertical="center" wrapText="1"/>
    </xf>
    <xf numFmtId="1" fontId="7" fillId="4" borderId="0" xfId="2" applyNumberFormat="1" applyFont="1" applyFill="1" applyBorder="1" applyAlignment="1">
      <alignment horizontal="right" vertical="center" wrapText="1"/>
    </xf>
    <xf numFmtId="0" fontId="7" fillId="4" borderId="0" xfId="2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/>
    </xf>
    <xf numFmtId="1" fontId="7" fillId="5" borderId="0" xfId="7" applyNumberFormat="1" applyFont="1" applyFill="1" applyBorder="1" applyAlignment="1">
      <alignment horizontal="right" vertical="center" wrapText="1"/>
    </xf>
    <xf numFmtId="3" fontId="7" fillId="5" borderId="0" xfId="7" applyNumberFormat="1" applyFont="1" applyFill="1" applyBorder="1" applyAlignment="1">
      <alignment horizontal="left" vertical="center" wrapText="1"/>
    </xf>
    <xf numFmtId="0" fontId="7" fillId="5" borderId="0" xfId="7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0" fillId="6" borderId="0" xfId="0" applyFill="1" applyAlignment="1">
      <alignment horizontal="center"/>
    </xf>
    <xf numFmtId="3" fontId="7" fillId="7" borderId="4" xfId="0" applyNumberFormat="1" applyFont="1" applyFill="1" applyBorder="1" applyAlignment="1">
      <alignment horizontal="center" vertical="center" wrapText="1"/>
    </xf>
    <xf numFmtId="3" fontId="7" fillId="6" borderId="4" xfId="0" applyNumberFormat="1" applyFont="1" applyFill="1" applyBorder="1" applyAlignment="1">
      <alignment horizontal="center"/>
    </xf>
    <xf numFmtId="0" fontId="7" fillId="7" borderId="4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left" vertical="center" wrapText="1"/>
    </xf>
    <xf numFmtId="2" fontId="8" fillId="4" borderId="8" xfId="0" applyNumberFormat="1" applyFont="1" applyFill="1" applyBorder="1" applyAlignment="1">
      <alignment horizontal="left" vertical="center" wrapText="1"/>
    </xf>
    <xf numFmtId="3" fontId="8" fillId="4" borderId="8" xfId="0" applyNumberFormat="1" applyFont="1" applyFill="1" applyBorder="1" applyAlignment="1">
      <alignment horizontal="right" vertical="center" wrapText="1"/>
    </xf>
    <xf numFmtId="3" fontId="9" fillId="0" borderId="4" xfId="0" applyNumberFormat="1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center"/>
    </xf>
    <xf numFmtId="0" fontId="7" fillId="6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horizontal="left"/>
    </xf>
    <xf numFmtId="3" fontId="7" fillId="6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/>
    <xf numFmtId="38" fontId="7" fillId="0" borderId="0" xfId="0" applyNumberFormat="1" applyFont="1" applyFill="1" applyBorder="1" applyAlignment="1">
      <alignment horizontal="right"/>
    </xf>
    <xf numFmtId="38" fontId="7" fillId="6" borderId="0" xfId="0" applyNumberFormat="1" applyFont="1" applyFill="1" applyAlignment="1">
      <alignment horizontal="right"/>
    </xf>
    <xf numFmtId="38" fontId="7" fillId="0" borderId="0" xfId="0" applyNumberFormat="1" applyFont="1" applyFill="1" applyAlignment="1">
      <alignment horizontal="right"/>
    </xf>
    <xf numFmtId="38" fontId="8" fillId="0" borderId="0" xfId="0" applyNumberFormat="1" applyFont="1" applyFill="1" applyAlignment="1">
      <alignment horizontal="right"/>
    </xf>
    <xf numFmtId="0" fontId="7" fillId="4" borderId="0" xfId="0" applyFont="1" applyFill="1" applyBorder="1" applyAlignment="1">
      <alignment wrapText="1"/>
    </xf>
    <xf numFmtId="0" fontId="9" fillId="0" borderId="0" xfId="0" applyFont="1" applyAlignment="1">
      <alignment horizontal="right" vertical="top"/>
    </xf>
    <xf numFmtId="3" fontId="7" fillId="4" borderId="8" xfId="0" applyNumberFormat="1" applyFont="1" applyFill="1" applyBorder="1" applyAlignment="1">
      <alignment horizontal="left" vertical="center" wrapText="1"/>
    </xf>
    <xf numFmtId="0" fontId="7" fillId="6" borderId="0" xfId="0" applyFont="1" applyFill="1" applyBorder="1" applyAlignment="1" applyProtection="1">
      <alignment horizontal="right"/>
      <protection locked="0"/>
    </xf>
    <xf numFmtId="1" fontId="7" fillId="6" borderId="0" xfId="0" applyNumberFormat="1" applyFont="1" applyFill="1" applyAlignment="1">
      <alignment horizontal="center"/>
    </xf>
    <xf numFmtId="167" fontId="7" fillId="6" borderId="0" xfId="0" applyNumberFormat="1" applyFont="1" applyFill="1" applyBorder="1" applyAlignment="1"/>
    <xf numFmtId="167" fontId="7" fillId="0" borderId="0" xfId="0" applyNumberFormat="1" applyFont="1" applyFill="1" applyBorder="1" applyAlignment="1"/>
    <xf numFmtId="167" fontId="7" fillId="0" borderId="8" xfId="0" applyNumberFormat="1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0" fontId="7" fillId="6" borderId="0" xfId="0" applyFont="1" applyFill="1" applyAlignment="1">
      <alignment vertical="center" wrapText="1"/>
    </xf>
    <xf numFmtId="3" fontId="7" fillId="5" borderId="8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3" fontId="7" fillId="6" borderId="0" xfId="7" applyNumberFormat="1" applyFont="1" applyFill="1" applyBorder="1" applyAlignment="1">
      <alignment horizontal="right" vertical="center"/>
    </xf>
    <xf numFmtId="3" fontId="7" fillId="6" borderId="0" xfId="7" applyNumberFormat="1" applyFont="1" applyFill="1" applyBorder="1" applyAlignment="1">
      <alignment vertical="center"/>
    </xf>
    <xf numFmtId="3" fontId="7" fillId="6" borderId="0" xfId="7" applyNumberFormat="1" applyFont="1" applyFill="1" applyBorder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Alignment="1"/>
    <xf numFmtId="3" fontId="7" fillId="6" borderId="0" xfId="8" applyNumberFormat="1" applyFont="1" applyFill="1" applyBorder="1" applyAlignment="1">
      <alignment vertical="center"/>
    </xf>
    <xf numFmtId="3" fontId="7" fillId="0" borderId="8" xfId="7" applyNumberFormat="1" applyFont="1" applyFill="1" applyBorder="1" applyAlignment="1">
      <alignment horizontal="right" vertical="center"/>
    </xf>
    <xf numFmtId="3" fontId="7" fillId="0" borderId="8" xfId="7" applyNumberFormat="1" applyFont="1" applyFill="1" applyBorder="1" applyAlignment="1">
      <alignment vertical="center"/>
    </xf>
    <xf numFmtId="0" fontId="7" fillId="0" borderId="8" xfId="5" applyFont="1" applyFill="1" applyBorder="1" applyAlignment="1">
      <alignment horizontal="left" vertical="center"/>
    </xf>
    <xf numFmtId="0" fontId="0" fillId="0" borderId="8" xfId="0" applyFill="1" applyBorder="1" applyAlignment="1"/>
    <xf numFmtId="1" fontId="7" fillId="4" borderId="8" xfId="0" applyNumberFormat="1" applyFont="1" applyFill="1" applyBorder="1" applyAlignment="1">
      <alignment horizontal="center" vertical="center" wrapText="1"/>
    </xf>
    <xf numFmtId="3" fontId="7" fillId="5" borderId="0" xfId="7" applyNumberFormat="1" applyFont="1" applyFill="1" applyBorder="1" applyAlignment="1">
      <alignment horizontal="right" vertical="center"/>
    </xf>
    <xf numFmtId="3" fontId="7" fillId="5" borderId="0" xfId="7" applyNumberFormat="1" applyFont="1" applyFill="1" applyBorder="1" applyAlignment="1">
      <alignment vertical="center"/>
    </xf>
    <xf numFmtId="3" fontId="7" fillId="5" borderId="0" xfId="7" applyNumberFormat="1" applyFont="1" applyFill="1" applyBorder="1" applyAlignment="1">
      <alignment horizontal="left" vertical="center"/>
    </xf>
    <xf numFmtId="3" fontId="7" fillId="5" borderId="0" xfId="8" applyNumberFormat="1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7" fillId="7" borderId="4" xfId="0" applyNumberFormat="1" applyFont="1" applyFill="1" applyBorder="1" applyAlignment="1">
      <alignment horizontal="right" vertical="center" wrapText="1"/>
    </xf>
    <xf numFmtId="0" fontId="8" fillId="5" borderId="8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6" borderId="0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7" borderId="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7" fillId="3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1" fillId="7" borderId="0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" fontId="7" fillId="3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right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1" fontId="7" fillId="7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7" fillId="7" borderId="0" xfId="9" applyFont="1" applyFill="1" applyBorder="1" applyAlignment="1">
      <alignment horizontal="center" vertical="center" wrapText="1"/>
    </xf>
    <xf numFmtId="1" fontId="7" fillId="3" borderId="3" xfId="9" applyNumberFormat="1" applyFont="1" applyFill="1" applyBorder="1" applyAlignment="1">
      <alignment horizontal="right" vertical="center" wrapText="1"/>
    </xf>
    <xf numFmtId="0" fontId="7" fillId="2" borderId="0" xfId="9" applyFont="1" applyFill="1" applyBorder="1" applyAlignment="1">
      <alignment horizontal="center" vertical="center" wrapText="1"/>
    </xf>
    <xf numFmtId="0" fontId="7" fillId="7" borderId="0" xfId="10" applyFont="1" applyFill="1" applyBorder="1" applyAlignment="1">
      <alignment horizontal="center" vertical="center" wrapText="1"/>
    </xf>
    <xf numFmtId="0" fontId="7" fillId="2" borderId="0" xfId="10" applyFont="1" applyFill="1" applyBorder="1" applyAlignment="1">
      <alignment horizontal="center" vertical="center" wrapText="1"/>
    </xf>
    <xf numFmtId="1" fontId="7" fillId="2" borderId="3" xfId="10" applyNumberFormat="1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horizontal="right" vertical="center" wrapText="1"/>
    </xf>
    <xf numFmtId="0" fontId="7" fillId="3" borderId="3" xfId="4" applyFont="1" applyFill="1" applyBorder="1" applyAlignment="1">
      <alignment horizontal="right" vertical="center" wrapText="1"/>
    </xf>
    <xf numFmtId="0" fontId="7" fillId="7" borderId="0" xfId="4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4" borderId="0" xfId="0" applyFont="1" applyFill="1" applyBorder="1" applyAlignment="1">
      <alignment horizontal="left" vertical="center" wrapText="1"/>
    </xf>
    <xf numFmtId="0" fontId="7" fillId="7" borderId="0" xfId="11" applyFont="1" applyFill="1" applyBorder="1" applyAlignment="1">
      <alignment horizontal="center" vertical="center" wrapText="1"/>
    </xf>
    <xf numFmtId="1" fontId="7" fillId="3" borderId="0" xfId="11" applyNumberFormat="1" applyFont="1" applyFill="1" applyBorder="1" applyAlignment="1">
      <alignment horizontal="left" vertical="center" wrapText="1"/>
    </xf>
    <xf numFmtId="1" fontId="7" fillId="2" borderId="3" xfId="11" applyNumberFormat="1" applyFont="1" applyFill="1" applyBorder="1" applyAlignment="1">
      <alignment horizontal="center" vertical="center" wrapText="1"/>
    </xf>
    <xf numFmtId="0" fontId="7" fillId="3" borderId="0" xfId="5" applyFont="1" applyFill="1" applyBorder="1" applyAlignment="1">
      <alignment horizontal="center" vertical="center" wrapText="1"/>
    </xf>
    <xf numFmtId="0" fontId="7" fillId="3" borderId="0" xfId="11" applyFont="1" applyFill="1" applyBorder="1" applyAlignment="1">
      <alignment horizontal="center" vertical="center" wrapText="1"/>
    </xf>
    <xf numFmtId="0" fontId="7" fillId="7" borderId="1" xfId="11" applyFont="1" applyFill="1" applyBorder="1" applyAlignment="1">
      <alignment horizontal="center" vertical="center" wrapText="1"/>
    </xf>
    <xf numFmtId="0" fontId="7" fillId="7" borderId="0" xfId="2" applyFont="1" applyFill="1" applyBorder="1" applyAlignment="1">
      <alignment horizontal="center" vertical="center" wrapText="1"/>
    </xf>
    <xf numFmtId="1" fontId="7" fillId="3" borderId="0" xfId="2" applyNumberFormat="1" applyFont="1" applyFill="1" applyBorder="1" applyAlignment="1">
      <alignment horizontal="right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7" fillId="7" borderId="1" xfId="2" applyFont="1" applyFill="1" applyBorder="1" applyAlignment="1">
      <alignment horizontal="center" vertical="center" wrapText="1"/>
    </xf>
    <xf numFmtId="0" fontId="7" fillId="4" borderId="0" xfId="2" applyFont="1" applyFill="1" applyBorder="1" applyAlignment="1">
      <alignment horizontal="center" wrapText="1"/>
    </xf>
    <xf numFmtId="0" fontId="7" fillId="7" borderId="0" xfId="6" applyFont="1" applyFill="1" applyBorder="1" applyAlignment="1">
      <alignment horizontal="center" vertical="center" wrapText="1"/>
    </xf>
    <xf numFmtId="1" fontId="7" fillId="2" borderId="3" xfId="6" applyNumberFormat="1" applyFont="1" applyFill="1" applyBorder="1" applyAlignment="1">
      <alignment horizontal="right" vertical="center" wrapText="1"/>
    </xf>
    <xf numFmtId="0" fontId="7" fillId="3" borderId="0" xfId="6" applyFont="1" applyFill="1" applyBorder="1" applyAlignment="1">
      <alignment horizontal="center" vertical="center" wrapText="1"/>
    </xf>
    <xf numFmtId="1" fontId="7" fillId="3" borderId="3" xfId="5" applyNumberFormat="1" applyFont="1" applyFill="1" applyBorder="1" applyAlignment="1">
      <alignment horizontal="left" vertical="center" wrapText="1"/>
    </xf>
    <xf numFmtId="0" fontId="7" fillId="7" borderId="1" xfId="6" applyFont="1" applyFill="1" applyBorder="1" applyAlignment="1">
      <alignment horizontal="center" vertical="center" wrapText="1"/>
    </xf>
    <xf numFmtId="0" fontId="7" fillId="7" borderId="0" xfId="3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1" fontId="7" fillId="2" borderId="3" xfId="3" applyNumberFormat="1" applyFont="1" applyFill="1" applyBorder="1" applyAlignment="1">
      <alignment horizontal="right" vertical="center" wrapText="1"/>
    </xf>
    <xf numFmtId="1" fontId="7" fillId="2" borderId="3" xfId="3" applyNumberFormat="1" applyFont="1" applyFill="1" applyBorder="1" applyAlignment="1">
      <alignment horizontal="left" vertical="center" wrapText="1"/>
    </xf>
    <xf numFmtId="1" fontId="7" fillId="2" borderId="3" xfId="3" applyNumberFormat="1" applyFont="1" applyFill="1" applyBorder="1" applyAlignment="1">
      <alignment horizontal="center" vertical="center" wrapText="1"/>
    </xf>
    <xf numFmtId="0" fontId="7" fillId="7" borderId="1" xfId="3" applyFont="1" applyFill="1" applyBorder="1" applyAlignment="1">
      <alignment horizontal="center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1" fontId="7" fillId="3" borderId="0" xfId="7" applyNumberFormat="1" applyFont="1" applyFill="1" applyBorder="1" applyAlignment="1">
      <alignment horizontal="right" vertical="center" wrapText="1"/>
    </xf>
    <xf numFmtId="1" fontId="7" fillId="3" borderId="1" xfId="7" applyNumberFormat="1" applyFont="1" applyFill="1" applyBorder="1" applyAlignment="1">
      <alignment horizontal="right" vertical="center" wrapText="1"/>
    </xf>
    <xf numFmtId="0" fontId="7" fillId="7" borderId="0" xfId="7" applyFont="1" applyFill="1" applyBorder="1" applyAlignment="1">
      <alignment horizontal="center" vertical="center" wrapText="1"/>
    </xf>
    <xf numFmtId="0" fontId="7" fillId="3" borderId="0" xfId="7" applyFont="1" applyFill="1" applyBorder="1" applyAlignment="1">
      <alignment horizontal="center" vertical="center" wrapText="1"/>
    </xf>
    <xf numFmtId="0" fontId="7" fillId="3" borderId="3" xfId="7" applyFont="1" applyFill="1" applyBorder="1" applyAlignment="1">
      <alignment horizontal="right" vertical="center" wrapText="1"/>
    </xf>
    <xf numFmtId="0" fontId="7" fillId="7" borderId="0" xfId="5" applyFont="1" applyFill="1" applyBorder="1" applyAlignment="1">
      <alignment horizontal="center" vertical="center" wrapText="1"/>
    </xf>
    <xf numFmtId="1" fontId="7" fillId="3" borderId="3" xfId="5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right"/>
    </xf>
    <xf numFmtId="1" fontId="7" fillId="3" borderId="3" xfId="5" applyNumberFormat="1" applyFont="1" applyFill="1" applyBorder="1" applyAlignment="1">
      <alignment horizontal="right" vertical="center" wrapText="1"/>
    </xf>
    <xf numFmtId="0" fontId="7" fillId="7" borderId="1" xfId="5" applyFont="1" applyFill="1" applyBorder="1" applyAlignment="1">
      <alignment horizontal="center" vertical="center" wrapText="1"/>
    </xf>
    <xf numFmtId="1" fontId="7" fillId="3" borderId="3" xfId="8" applyNumberFormat="1" applyFont="1" applyFill="1" applyBorder="1" applyAlignment="1">
      <alignment horizontal="right" vertical="center" wrapText="1"/>
    </xf>
    <xf numFmtId="0" fontId="7" fillId="7" borderId="0" xfId="8" applyFont="1" applyFill="1" applyBorder="1" applyAlignment="1">
      <alignment horizontal="center" vertical="center" wrapText="1"/>
    </xf>
    <xf numFmtId="0" fontId="7" fillId="2" borderId="0" xfId="8" applyFont="1" applyFill="1" applyBorder="1" applyAlignment="1">
      <alignment horizontal="center" vertical="center" wrapText="1"/>
    </xf>
    <xf numFmtId="1" fontId="7" fillId="2" borderId="3" xfId="8" applyNumberFormat="1" applyFont="1" applyFill="1" applyBorder="1" applyAlignment="1">
      <alignment horizontal="right" vertical="center" wrapText="1"/>
    </xf>
    <xf numFmtId="0" fontId="7" fillId="6" borderId="1" xfId="8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right" vertical="center" wrapText="1"/>
    </xf>
    <xf numFmtId="0" fontId="7" fillId="5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right" vertical="center" wrapText="1"/>
    </xf>
  </cellXfs>
  <cellStyles count="17">
    <cellStyle name="Comma" xfId="1" builtinId="3"/>
    <cellStyle name="Normal" xfId="0" builtinId="0"/>
    <cellStyle name="Normal 4" xfId="12"/>
    <cellStyle name="Normal 5" xfId="13"/>
    <cellStyle name="Normal 6" xfId="14"/>
    <cellStyle name="Normal 7" xfId="15"/>
    <cellStyle name="Normal 8" xfId="16"/>
    <cellStyle name="Normal_Sheet1" xfId="2"/>
    <cellStyle name="Normal_Sheet3" xfId="3"/>
    <cellStyle name="Normal_Sheet6" xfId="4"/>
    <cellStyle name="Normal_Sheet8" xfId="5"/>
    <cellStyle name="Normal_ت.صحيه2" xfId="6"/>
    <cellStyle name="Normal_ت.صحيه4" xfId="7"/>
    <cellStyle name="Normal_ت.صحيه5" xfId="8"/>
    <cellStyle name="Normal_حصى" xfId="9"/>
    <cellStyle name="Normal_رمل" xfId="10"/>
    <cellStyle name="Normal_شبابيك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ar-IQ" b="1"/>
              <a:t>الكلفة الكلية وقيمة المواد الانشائية واجور العاملين لابنية القطاع الخاص للسنوات </a:t>
            </a:r>
            <a:r>
              <a:rPr lang="en-US" b="1"/>
              <a:t>2008</a:t>
            </a:r>
            <a:r>
              <a:rPr lang="ar-IQ" b="1"/>
              <a:t>-</a:t>
            </a:r>
            <a:r>
              <a:rPr lang="en-US" b="1"/>
              <a:t>2019</a:t>
            </a:r>
            <a:r>
              <a:rPr lang="ar-IQ"/>
              <a:t>  </a:t>
            </a:r>
            <a:endParaRPr lang="en-US"/>
          </a:p>
        </c:rich>
      </c:tx>
      <c:layout>
        <c:manualLayout>
          <c:xMode val="edge"/>
          <c:yMode val="edge"/>
          <c:x val="0.19076833986150096"/>
          <c:y val="0.1550951292378775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609399402339362"/>
          <c:y val="0.28601791188315207"/>
          <c:w val="0.83390598902409929"/>
          <c:h val="0.54697481517100444"/>
        </c:manualLayout>
      </c:layout>
      <c:lineChart>
        <c:grouping val="standard"/>
        <c:varyColors val="0"/>
        <c:ser>
          <c:idx val="0"/>
          <c:order val="0"/>
          <c:tx>
            <c:strRef>
              <c:f>'الكلفه  للسنوات'!$B$36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'الكلفه  للسنوات'!$C$48:$G$48</c:f>
              <c:numCache>
                <c:formatCode>General</c:formatCode>
                <c:ptCount val="5"/>
                <c:pt idx="0">
                  <c:v>2019</c:v>
                </c:pt>
                <c:pt idx="1">
                  <c:v>1138225</c:v>
                </c:pt>
                <c:pt idx="2">
                  <c:v>532029</c:v>
                </c:pt>
                <c:pt idx="3">
                  <c:v>606196</c:v>
                </c:pt>
                <c:pt idx="4">
                  <c:v>35966</c:v>
                </c:pt>
              </c:numCache>
            </c:numRef>
          </c:cat>
          <c:val>
            <c:numRef>
              <c:f>'الكلفه  للسنوات'!$B$38:$B$49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"/>
          <c:order val="1"/>
          <c:tx>
            <c:strRef>
              <c:f>'الكلفه  للسنوات'!$C$36</c:f>
              <c:strCache>
                <c:ptCount val="1"/>
                <c:pt idx="0">
                  <c:v>السنوات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'الكلفه  للسنوات'!$C$48:$G$48</c:f>
              <c:numCache>
                <c:formatCode>General</c:formatCode>
                <c:ptCount val="5"/>
                <c:pt idx="0">
                  <c:v>2019</c:v>
                </c:pt>
                <c:pt idx="1">
                  <c:v>1138225</c:v>
                </c:pt>
                <c:pt idx="2">
                  <c:v>532029</c:v>
                </c:pt>
                <c:pt idx="3">
                  <c:v>606196</c:v>
                </c:pt>
                <c:pt idx="4">
                  <c:v>35966</c:v>
                </c:pt>
              </c:numCache>
            </c:numRef>
          </c:cat>
          <c:val>
            <c:numRef>
              <c:f>'الكلفه  للسنوات'!$C$38:$C$49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'الكلفه  للسنوات'!$D$36</c:f>
              <c:strCache>
                <c:ptCount val="1"/>
                <c:pt idx="0">
                  <c:v>الكلفة الكلية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'الكلفه  للسنوات'!$C$48:$G$48</c:f>
              <c:numCache>
                <c:formatCode>General</c:formatCode>
                <c:ptCount val="5"/>
                <c:pt idx="0">
                  <c:v>2019</c:v>
                </c:pt>
                <c:pt idx="1">
                  <c:v>1138225</c:v>
                </c:pt>
                <c:pt idx="2">
                  <c:v>532029</c:v>
                </c:pt>
                <c:pt idx="3">
                  <c:v>606196</c:v>
                </c:pt>
                <c:pt idx="4">
                  <c:v>35966</c:v>
                </c:pt>
              </c:numCache>
            </c:numRef>
          </c:cat>
          <c:val>
            <c:numRef>
              <c:f>'الكلفه  للسنوات'!$D$38:$D$49</c:f>
              <c:numCache>
                <c:formatCode>General</c:formatCode>
                <c:ptCount val="12"/>
                <c:pt idx="0">
                  <c:v>1392693</c:v>
                </c:pt>
                <c:pt idx="1">
                  <c:v>1968163</c:v>
                </c:pt>
                <c:pt idx="2">
                  <c:v>2150495</c:v>
                </c:pt>
                <c:pt idx="3">
                  <c:v>4421670</c:v>
                </c:pt>
                <c:pt idx="4">
                  <c:v>0</c:v>
                </c:pt>
                <c:pt idx="5">
                  <c:v>3320102</c:v>
                </c:pt>
                <c:pt idx="6">
                  <c:v>0</c:v>
                </c:pt>
                <c:pt idx="7">
                  <c:v>0</c:v>
                </c:pt>
                <c:pt idx="8">
                  <c:v>1479021</c:v>
                </c:pt>
                <c:pt idx="9">
                  <c:v>1398142</c:v>
                </c:pt>
                <c:pt idx="10">
                  <c:v>1138225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'الكلفه  للسنوات'!$E$36</c:f>
              <c:strCache>
                <c:ptCount val="1"/>
                <c:pt idx="0">
                  <c:v>قيمة المواد الانشائية 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'الكلفه  للسنوات'!$C$48:$G$48</c:f>
              <c:numCache>
                <c:formatCode>General</c:formatCode>
                <c:ptCount val="5"/>
                <c:pt idx="0">
                  <c:v>2019</c:v>
                </c:pt>
                <c:pt idx="1">
                  <c:v>1138225</c:v>
                </c:pt>
                <c:pt idx="2">
                  <c:v>532029</c:v>
                </c:pt>
                <c:pt idx="3">
                  <c:v>606196</c:v>
                </c:pt>
                <c:pt idx="4">
                  <c:v>35966</c:v>
                </c:pt>
              </c:numCache>
            </c:numRef>
          </c:cat>
          <c:val>
            <c:numRef>
              <c:f>'الكلفه  للسنوات'!$E$38:$E$49</c:f>
              <c:numCache>
                <c:formatCode>General</c:formatCode>
                <c:ptCount val="12"/>
                <c:pt idx="0">
                  <c:v>1059909</c:v>
                </c:pt>
                <c:pt idx="1">
                  <c:v>1486827</c:v>
                </c:pt>
                <c:pt idx="2">
                  <c:v>1583820</c:v>
                </c:pt>
                <c:pt idx="3">
                  <c:v>3622019</c:v>
                </c:pt>
                <c:pt idx="4">
                  <c:v>0</c:v>
                </c:pt>
                <c:pt idx="5">
                  <c:v>2873631</c:v>
                </c:pt>
                <c:pt idx="6">
                  <c:v>0</c:v>
                </c:pt>
                <c:pt idx="7">
                  <c:v>0</c:v>
                </c:pt>
                <c:pt idx="8">
                  <c:v>819485</c:v>
                </c:pt>
                <c:pt idx="9">
                  <c:v>901626</c:v>
                </c:pt>
                <c:pt idx="10">
                  <c:v>532029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'الكلفه  للسنوات'!$F$36</c:f>
              <c:strCache>
                <c:ptCount val="1"/>
                <c:pt idx="0">
                  <c:v>الاجور المدفوعه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'الكلفه  للسنوات'!$C$48:$G$48</c:f>
              <c:numCache>
                <c:formatCode>General</c:formatCode>
                <c:ptCount val="5"/>
                <c:pt idx="0">
                  <c:v>2019</c:v>
                </c:pt>
                <c:pt idx="1">
                  <c:v>1138225</c:v>
                </c:pt>
                <c:pt idx="2">
                  <c:v>532029</c:v>
                </c:pt>
                <c:pt idx="3">
                  <c:v>606196</c:v>
                </c:pt>
                <c:pt idx="4">
                  <c:v>35966</c:v>
                </c:pt>
              </c:numCache>
            </c:numRef>
          </c:cat>
          <c:val>
            <c:numRef>
              <c:f>'الكلفه  للسنوات'!$F$38:$F$49</c:f>
              <c:numCache>
                <c:formatCode>General</c:formatCode>
                <c:ptCount val="12"/>
                <c:pt idx="0">
                  <c:v>332783</c:v>
                </c:pt>
                <c:pt idx="1">
                  <c:v>481335</c:v>
                </c:pt>
                <c:pt idx="2">
                  <c:v>566675</c:v>
                </c:pt>
                <c:pt idx="3">
                  <c:v>661140</c:v>
                </c:pt>
                <c:pt idx="4">
                  <c:v>555092</c:v>
                </c:pt>
                <c:pt idx="5">
                  <c:v>446471</c:v>
                </c:pt>
                <c:pt idx="6">
                  <c:v>700793</c:v>
                </c:pt>
                <c:pt idx="7">
                  <c:v>659555</c:v>
                </c:pt>
                <c:pt idx="8">
                  <c:v>659555</c:v>
                </c:pt>
                <c:pt idx="9">
                  <c:v>496515</c:v>
                </c:pt>
                <c:pt idx="10">
                  <c:v>606196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'الكلفه  للسنوات'!$C$37:$C$48</c:f>
              <c:strCache>
                <c:ptCount val="1"/>
                <c:pt idx="0">
                  <c:v>2008 2009 2010 2011 2012 2013 2014 2015 2016 2017 2018 2019</c:v>
                </c:pt>
              </c:strCache>
            </c:strRef>
          </c:tx>
          <c:marker>
            <c:symbol val="none"/>
          </c:marker>
          <c:val>
            <c:numRef>
              <c:f>'الكلفه  للسنوات'!$D$37:$D$48</c:f>
              <c:numCache>
                <c:formatCode>General</c:formatCode>
                <c:ptCount val="12"/>
                <c:pt idx="0">
                  <c:v>544337</c:v>
                </c:pt>
                <c:pt idx="1">
                  <c:v>1392693</c:v>
                </c:pt>
                <c:pt idx="2">
                  <c:v>1968163</c:v>
                </c:pt>
                <c:pt idx="3">
                  <c:v>2150495</c:v>
                </c:pt>
                <c:pt idx="4">
                  <c:v>4421670</c:v>
                </c:pt>
                <c:pt idx="5">
                  <c:v>0</c:v>
                </c:pt>
                <c:pt idx="6">
                  <c:v>3320102</c:v>
                </c:pt>
                <c:pt idx="7">
                  <c:v>0</c:v>
                </c:pt>
                <c:pt idx="8">
                  <c:v>0</c:v>
                </c:pt>
                <c:pt idx="9">
                  <c:v>1479021</c:v>
                </c:pt>
                <c:pt idx="10">
                  <c:v>1398142</c:v>
                </c:pt>
                <c:pt idx="11">
                  <c:v>1138225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51712"/>
        <c:axId val="100998464"/>
      </c:lineChart>
      <c:catAx>
        <c:axId val="105651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0998464"/>
        <c:crosses val="autoZero"/>
        <c:auto val="1"/>
        <c:lblAlgn val="ctr"/>
        <c:lblOffset val="100"/>
        <c:noMultiLvlLbl val="0"/>
      </c:catAx>
      <c:valAx>
        <c:axId val="10099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517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7538714287221344"/>
          <c:y val="0.36765759348828447"/>
          <c:w val="0.22461281552936935"/>
          <c:h val="5.3389833675250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bg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1.1499999999999999" l="1.58" r="1.63" t="1.02" header="0.3" footer="0.3"/>
    <c:pageSetup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 sz="1400"/>
            </a:pPr>
            <a:r>
              <a:rPr lang="ar-IQ" sz="1600"/>
              <a:t>شكل</a:t>
            </a:r>
            <a:r>
              <a:rPr lang="ar-IQ" sz="1600" baseline="0"/>
              <a:t> (1)</a:t>
            </a:r>
          </a:p>
          <a:p>
            <a:pPr rtl="1">
              <a:defRPr sz="1400"/>
            </a:pPr>
            <a:r>
              <a:rPr lang="ar-IQ" sz="1400" baseline="0"/>
              <a:t>الكلفة الكلية وقيمة المواد الانشائية واجور العاملين لابنية القطاع الخاص للسنوات 2008-2019</a:t>
            </a:r>
            <a:endParaRPr lang="ar-IQ" sz="1400"/>
          </a:p>
        </c:rich>
      </c:tx>
      <c:layout>
        <c:manualLayout>
          <c:xMode val="edge"/>
          <c:yMode val="edge"/>
          <c:x val="0.12950335223641085"/>
          <c:y val="1.7241379310344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475075169408465"/>
          <c:y val="0.23095777898452349"/>
          <c:w val="0.63623985215951451"/>
          <c:h val="0.6163177663136935"/>
        </c:manualLayout>
      </c:layout>
      <c:lineChart>
        <c:grouping val="standard"/>
        <c:varyColors val="0"/>
        <c:ser>
          <c:idx val="1"/>
          <c:order val="0"/>
          <c:tx>
            <c:strRef>
              <c:f>'الكلفه  للسنوات'!$D$36</c:f>
              <c:strCache>
                <c:ptCount val="1"/>
                <c:pt idx="0">
                  <c:v>الكلفة الكلية </c:v>
                </c:pt>
              </c:strCache>
            </c:strRef>
          </c:tx>
          <c:marker>
            <c:symbol val="none"/>
          </c:marker>
          <c:cat>
            <c:numRef>
              <c:f>'الكلفه  للسنوات'!$C$37:$C$48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'الكلفه  للسنوات'!$D$37:$D$48</c:f>
              <c:numCache>
                <c:formatCode>General</c:formatCode>
                <c:ptCount val="12"/>
                <c:pt idx="0">
                  <c:v>544337</c:v>
                </c:pt>
                <c:pt idx="1">
                  <c:v>1392693</c:v>
                </c:pt>
                <c:pt idx="2">
                  <c:v>1968163</c:v>
                </c:pt>
                <c:pt idx="3">
                  <c:v>2150495</c:v>
                </c:pt>
                <c:pt idx="4">
                  <c:v>4421670</c:v>
                </c:pt>
                <c:pt idx="5">
                  <c:v>0</c:v>
                </c:pt>
                <c:pt idx="6">
                  <c:v>3320102</c:v>
                </c:pt>
                <c:pt idx="7">
                  <c:v>0</c:v>
                </c:pt>
                <c:pt idx="8">
                  <c:v>0</c:v>
                </c:pt>
                <c:pt idx="9">
                  <c:v>1479021</c:v>
                </c:pt>
                <c:pt idx="10">
                  <c:v>1398142</c:v>
                </c:pt>
                <c:pt idx="11">
                  <c:v>1138225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'الكلفه  للسنوات'!$E$36</c:f>
              <c:strCache>
                <c:ptCount val="1"/>
                <c:pt idx="0">
                  <c:v>قيمة المواد الانشائية </c:v>
                </c:pt>
              </c:strCache>
            </c:strRef>
          </c:tx>
          <c:marker>
            <c:symbol val="none"/>
          </c:marker>
          <c:cat>
            <c:numRef>
              <c:f>'الكلفه  للسنوات'!$C$37:$C$48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'الكلفه  للسنوات'!$E$37:$E$48</c:f>
              <c:numCache>
                <c:formatCode>General</c:formatCode>
                <c:ptCount val="12"/>
                <c:pt idx="0">
                  <c:v>422081</c:v>
                </c:pt>
                <c:pt idx="1">
                  <c:v>1059909</c:v>
                </c:pt>
                <c:pt idx="2">
                  <c:v>1486827</c:v>
                </c:pt>
                <c:pt idx="3">
                  <c:v>1583820</c:v>
                </c:pt>
                <c:pt idx="4">
                  <c:v>3622019</c:v>
                </c:pt>
                <c:pt idx="5">
                  <c:v>0</c:v>
                </c:pt>
                <c:pt idx="6">
                  <c:v>2873631</c:v>
                </c:pt>
                <c:pt idx="7">
                  <c:v>0</c:v>
                </c:pt>
                <c:pt idx="8">
                  <c:v>0</c:v>
                </c:pt>
                <c:pt idx="9">
                  <c:v>819485</c:v>
                </c:pt>
                <c:pt idx="10">
                  <c:v>901626</c:v>
                </c:pt>
                <c:pt idx="11">
                  <c:v>532029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'الكلفه  للسنوات'!$F$36</c:f>
              <c:strCache>
                <c:ptCount val="1"/>
                <c:pt idx="0">
                  <c:v>الاجور المدفوعه</c:v>
                </c:pt>
              </c:strCache>
            </c:strRef>
          </c:tx>
          <c:marker>
            <c:symbol val="none"/>
          </c:marker>
          <c:cat>
            <c:numRef>
              <c:f>'الكلفه  للسنوات'!$C$37:$C$48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'الكلفه  للسنوات'!$F$37:$F$48</c:f>
              <c:numCache>
                <c:formatCode>General</c:formatCode>
                <c:ptCount val="12"/>
                <c:pt idx="0">
                  <c:v>132192</c:v>
                </c:pt>
                <c:pt idx="1">
                  <c:v>332783</c:v>
                </c:pt>
                <c:pt idx="2">
                  <c:v>481335</c:v>
                </c:pt>
                <c:pt idx="3">
                  <c:v>566675</c:v>
                </c:pt>
                <c:pt idx="4">
                  <c:v>661140</c:v>
                </c:pt>
                <c:pt idx="5">
                  <c:v>555092</c:v>
                </c:pt>
                <c:pt idx="6">
                  <c:v>446471</c:v>
                </c:pt>
                <c:pt idx="7">
                  <c:v>700793</c:v>
                </c:pt>
                <c:pt idx="8">
                  <c:v>659555</c:v>
                </c:pt>
                <c:pt idx="9">
                  <c:v>659555</c:v>
                </c:pt>
                <c:pt idx="10">
                  <c:v>496515</c:v>
                </c:pt>
                <c:pt idx="11">
                  <c:v>606196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91872"/>
        <c:axId val="105605376"/>
      </c:lineChart>
      <c:catAx>
        <c:axId val="10939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5605376"/>
        <c:crosses val="autoZero"/>
        <c:auto val="1"/>
        <c:lblAlgn val="ctr"/>
        <c:lblOffset val="100"/>
        <c:noMultiLvlLbl val="0"/>
      </c:catAx>
      <c:valAx>
        <c:axId val="1056053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9391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IQ" sz="1400" b="0"/>
              <a:t>شكل (2) 
المؤشرات الرئيسة لتقديرات ابنية القطاع الخاص حسب انواع البناء لسنه </a:t>
            </a:r>
            <a:r>
              <a:rPr lang="en-US" sz="1400" b="0"/>
              <a:t>2019</a:t>
            </a:r>
            <a:endParaRPr lang="ar-IQ" sz="1400" b="0"/>
          </a:p>
        </c:rich>
      </c:tx>
      <c:layout>
        <c:manualLayout>
          <c:xMode val="edge"/>
          <c:yMode val="edge"/>
          <c:x val="0.19330881037639824"/>
          <c:y val="2.84757118927973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62446588374405E-2"/>
          <c:y val="0.19821068662713456"/>
          <c:w val="0.90526899154670515"/>
          <c:h val="0.60655212079971488"/>
        </c:manualLayout>
      </c:layout>
      <c:bar3DChart>
        <c:barDir val="col"/>
        <c:grouping val="clustered"/>
        <c:varyColors val="0"/>
        <c:ser>
          <c:idx val="0"/>
          <c:order val="0"/>
          <c:tx>
            <c:v>جديد</c:v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FFFF00"/>
              </a:solidFill>
              <a:prstDash val="solid"/>
            </a:ln>
          </c:spPr>
          <c:invertIfNegative val="0"/>
          <c:cat>
            <c:strRef>
              <c:f>(مؤشرات!$B$9:$B$14,مؤشرات!$C$9:$C$14,مؤشرات!$F$9:$F$14)</c:f>
              <c:strCache>
                <c:ptCount val="18"/>
                <c:pt idx="0">
                  <c:v>دور سكن  </c:v>
                </c:pt>
                <c:pt idx="1">
                  <c:v>العمارات السكنية </c:v>
                </c:pt>
                <c:pt idx="2">
                  <c:v>العمارات التجارية </c:v>
                </c:pt>
                <c:pt idx="3">
                  <c:v>أبنية  صناعية  </c:v>
                </c:pt>
                <c:pt idx="4">
                  <c:v>أبنية  تجارية </c:v>
                </c:pt>
                <c:pt idx="5">
                  <c:v>أبنية اجتماعية</c:v>
                </c:pt>
                <c:pt idx="6">
                  <c:v>9,492</c:v>
                </c:pt>
                <c:pt idx="7">
                  <c:v>9</c:v>
                </c:pt>
                <c:pt idx="8">
                  <c:v>314</c:v>
                </c:pt>
                <c:pt idx="9">
                  <c:v>12</c:v>
                </c:pt>
                <c:pt idx="10">
                  <c:v>8</c:v>
                </c:pt>
                <c:pt idx="11">
                  <c:v>7</c:v>
                </c:pt>
                <c:pt idx="12">
                  <c:v>2,547</c:v>
                </c:pt>
                <c:pt idx="13">
                  <c:v>2</c:v>
                </c:pt>
                <c:pt idx="14">
                  <c:v>9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</c:strCache>
            </c:strRef>
          </c:cat>
          <c:val>
            <c:numRef>
              <c:f>مؤشرات!$C$9:$C$14</c:f>
              <c:numCache>
                <c:formatCode>#,##0</c:formatCode>
                <c:ptCount val="6"/>
                <c:pt idx="0">
                  <c:v>9491.66</c:v>
                </c:pt>
                <c:pt idx="1">
                  <c:v>9.2099999999999991</c:v>
                </c:pt>
                <c:pt idx="2">
                  <c:v>314.07999999999993</c:v>
                </c:pt>
                <c:pt idx="3">
                  <c:v>12</c:v>
                </c:pt>
                <c:pt idx="4">
                  <c:v>8</c:v>
                </c:pt>
                <c:pt idx="5">
                  <c:v>7</c:v>
                </c:pt>
              </c:numCache>
            </c:numRef>
          </c:val>
        </c:ser>
        <c:ser>
          <c:idx val="1"/>
          <c:order val="1"/>
          <c:tx>
            <c:v>اضافة</c:v>
          </c:tx>
          <c:spPr>
            <a:solidFill>
              <a:srgbClr val="92D050"/>
            </a:solidFill>
            <a:ln w="12700">
              <a:solidFill>
                <a:srgbClr val="0033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C00000"/>
                </a:solidFill>
                <a:prstDash val="solid"/>
              </a:ln>
            </c:spPr>
          </c:dPt>
          <c:cat>
            <c:strRef>
              <c:f>(مؤشرات!$B$9:$B$14,مؤشرات!$C$9:$C$14,مؤشرات!$F$9:$F$14)</c:f>
              <c:strCache>
                <c:ptCount val="18"/>
                <c:pt idx="0">
                  <c:v>دور سكن  </c:v>
                </c:pt>
                <c:pt idx="1">
                  <c:v>العمارات السكنية </c:v>
                </c:pt>
                <c:pt idx="2">
                  <c:v>العمارات التجارية </c:v>
                </c:pt>
                <c:pt idx="3">
                  <c:v>أبنية  صناعية  </c:v>
                </c:pt>
                <c:pt idx="4">
                  <c:v>أبنية  تجارية </c:v>
                </c:pt>
                <c:pt idx="5">
                  <c:v>أبنية اجتماعية</c:v>
                </c:pt>
                <c:pt idx="6">
                  <c:v>9,492</c:v>
                </c:pt>
                <c:pt idx="7">
                  <c:v>9</c:v>
                </c:pt>
                <c:pt idx="8">
                  <c:v>314</c:v>
                </c:pt>
                <c:pt idx="9">
                  <c:v>12</c:v>
                </c:pt>
                <c:pt idx="10">
                  <c:v>8</c:v>
                </c:pt>
                <c:pt idx="11">
                  <c:v>7</c:v>
                </c:pt>
                <c:pt idx="12">
                  <c:v>2,547</c:v>
                </c:pt>
                <c:pt idx="13">
                  <c:v>2</c:v>
                </c:pt>
                <c:pt idx="14">
                  <c:v>9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</c:strCache>
            </c:strRef>
          </c:cat>
          <c:val>
            <c:numRef>
              <c:f>مؤشرات!$F$9:$F$14</c:f>
              <c:numCache>
                <c:formatCode>#,##0</c:formatCode>
                <c:ptCount val="6"/>
                <c:pt idx="0">
                  <c:v>2547</c:v>
                </c:pt>
                <c:pt idx="1">
                  <c:v>1.63</c:v>
                </c:pt>
                <c:pt idx="2">
                  <c:v>9.1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109393408"/>
        <c:axId val="105607104"/>
        <c:axId val="0"/>
      </c:bar3DChart>
      <c:catAx>
        <c:axId val="10939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 b="0"/>
                  <a:t>انواع البناء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86138674645191537"/>
              <c:y val="0.796228735296976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607104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lang="en-US"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 b="0"/>
                  <a:t>العدد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1537556099002982"/>
              <c:y val="0.14610754674184248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393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667735616210599"/>
          <c:y val="0.29053901005737115"/>
          <c:w val="6.5621535905516684E-2"/>
          <c:h val="0.1005090119887581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lang="en-US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&amp;C11</c:oddFooter>
    </c:headerFooter>
    <c:pageMargins b="1" l="0.75000000000001565" r="0.7500000000000156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IQ" b="1"/>
              <a:t>شكل رقم (3)
 معدل عدد العاملين في المحافظات لسنه </a:t>
            </a:r>
            <a:r>
              <a:rPr lang="en-US" b="1"/>
              <a:t>2019</a:t>
            </a:r>
            <a:endParaRPr lang="ar-IQ" b="1"/>
          </a:p>
        </c:rich>
      </c:tx>
      <c:layout>
        <c:manualLayout>
          <c:xMode val="edge"/>
          <c:yMode val="edge"/>
          <c:x val="0.35066505441354279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9844312143908834E-2"/>
          <c:y val="0.18256422766431302"/>
          <c:w val="0.86828410473081119"/>
          <c:h val="0.63264206432027348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العاملين!$F$4</c:f>
              <c:strCache>
                <c:ptCount val="1"/>
                <c:pt idx="0">
                  <c:v>عمال ماهرين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العاملين!$A$8:$A$22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 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العاملين!$F$8:$F$22</c:f>
              <c:numCache>
                <c:formatCode>#,##0</c:formatCode>
                <c:ptCount val="15"/>
                <c:pt idx="0">
                  <c:v>47</c:v>
                </c:pt>
                <c:pt idx="1">
                  <c:v>232</c:v>
                </c:pt>
                <c:pt idx="2">
                  <c:v>274</c:v>
                </c:pt>
                <c:pt idx="3">
                  <c:v>66</c:v>
                </c:pt>
                <c:pt idx="4">
                  <c:v>1712</c:v>
                </c:pt>
                <c:pt idx="5">
                  <c:v>127</c:v>
                </c:pt>
                <c:pt idx="6">
                  <c:v>169</c:v>
                </c:pt>
                <c:pt idx="7">
                  <c:v>95</c:v>
                </c:pt>
                <c:pt idx="8">
                  <c:v>103</c:v>
                </c:pt>
                <c:pt idx="9">
                  <c:v>231</c:v>
                </c:pt>
                <c:pt idx="10">
                  <c:v>99</c:v>
                </c:pt>
                <c:pt idx="11">
                  <c:v>121</c:v>
                </c:pt>
                <c:pt idx="12">
                  <c:v>169</c:v>
                </c:pt>
                <c:pt idx="13">
                  <c:v>59</c:v>
                </c:pt>
                <c:pt idx="14">
                  <c:v>363</c:v>
                </c:pt>
              </c:numCache>
            </c:numRef>
          </c:val>
        </c:ser>
        <c:ser>
          <c:idx val="0"/>
          <c:order val="1"/>
          <c:tx>
            <c:strRef>
              <c:f>العاملين!$D$4</c:f>
              <c:strCache>
                <c:ptCount val="1"/>
                <c:pt idx="0">
                  <c:v>عمال شبه ماهرين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العاملين!$D$8:$D$22</c:f>
              <c:numCache>
                <c:formatCode>#,##0</c:formatCode>
                <c:ptCount val="15"/>
                <c:pt idx="0">
                  <c:v>9</c:v>
                </c:pt>
                <c:pt idx="1">
                  <c:v>95</c:v>
                </c:pt>
                <c:pt idx="2">
                  <c:v>197</c:v>
                </c:pt>
                <c:pt idx="3">
                  <c:v>40</c:v>
                </c:pt>
                <c:pt idx="4">
                  <c:v>1056</c:v>
                </c:pt>
                <c:pt idx="5">
                  <c:v>78</c:v>
                </c:pt>
                <c:pt idx="6">
                  <c:v>42</c:v>
                </c:pt>
                <c:pt idx="7">
                  <c:v>41</c:v>
                </c:pt>
                <c:pt idx="8">
                  <c:v>91</c:v>
                </c:pt>
                <c:pt idx="9">
                  <c:v>163</c:v>
                </c:pt>
                <c:pt idx="10">
                  <c:v>37</c:v>
                </c:pt>
                <c:pt idx="11">
                  <c:v>42</c:v>
                </c:pt>
                <c:pt idx="12">
                  <c:v>31</c:v>
                </c:pt>
                <c:pt idx="13">
                  <c:v>5</c:v>
                </c:pt>
                <c:pt idx="14">
                  <c:v>63</c:v>
                </c:pt>
              </c:numCache>
            </c:numRef>
          </c:val>
        </c:ser>
        <c:ser>
          <c:idx val="2"/>
          <c:order val="2"/>
          <c:tx>
            <c:strRef>
              <c:f>العاملين!$B$4</c:f>
              <c:strCache>
                <c:ptCount val="1"/>
                <c:pt idx="0">
                  <c:v>عمال غير ماهرين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val>
            <c:numRef>
              <c:f>العاملين!$B$8:$B$22</c:f>
              <c:numCache>
                <c:formatCode>#,##0</c:formatCode>
                <c:ptCount val="15"/>
                <c:pt idx="0">
                  <c:v>291</c:v>
                </c:pt>
                <c:pt idx="1">
                  <c:v>1598</c:v>
                </c:pt>
                <c:pt idx="2">
                  <c:v>2143</c:v>
                </c:pt>
                <c:pt idx="3">
                  <c:v>473</c:v>
                </c:pt>
                <c:pt idx="4">
                  <c:v>13791</c:v>
                </c:pt>
                <c:pt idx="5">
                  <c:v>1083</c:v>
                </c:pt>
                <c:pt idx="6">
                  <c:v>1284</c:v>
                </c:pt>
                <c:pt idx="7">
                  <c:v>695</c:v>
                </c:pt>
                <c:pt idx="8">
                  <c:v>782</c:v>
                </c:pt>
                <c:pt idx="9">
                  <c:v>1692</c:v>
                </c:pt>
                <c:pt idx="10">
                  <c:v>761</c:v>
                </c:pt>
                <c:pt idx="11">
                  <c:v>1020</c:v>
                </c:pt>
                <c:pt idx="12">
                  <c:v>1179</c:v>
                </c:pt>
                <c:pt idx="13">
                  <c:v>377</c:v>
                </c:pt>
                <c:pt idx="14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1066112"/>
        <c:axId val="105609408"/>
        <c:axId val="111051392"/>
      </c:bar3DChart>
      <c:catAx>
        <c:axId val="11106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90000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09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6094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066112"/>
        <c:crosses val="autoZero"/>
        <c:crossBetween val="between"/>
      </c:valAx>
      <c:serAx>
        <c:axId val="111051392"/>
        <c:scaling>
          <c:orientation val="minMax"/>
        </c:scaling>
        <c:delete val="1"/>
        <c:axPos val="b"/>
        <c:majorTickMark val="out"/>
        <c:minorTickMark val="none"/>
        <c:tickLblPos val="nextTo"/>
        <c:crossAx val="105609408"/>
        <c:crosses val="autoZero"/>
      </c:serAx>
    </c:plotArea>
    <c:legend>
      <c:legendPos val="r"/>
      <c:layout>
        <c:manualLayout>
          <c:xMode val="edge"/>
          <c:yMode val="edge"/>
          <c:x val="0.72136296414722545"/>
          <c:y val="0.35449725259162729"/>
          <c:w val="0.10740527152415853"/>
          <c:h val="0.11137463238781899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&amp;C24</c:oddFooter>
    </c:headerFooter>
    <c:pageMargins b="0.98425196850393659" l="0.94488188976377963" r="0.70866141732283616" t="0.98425196850393659" header="0.51181102362204722" footer="0.51181102362204722"/>
    <c:pageSetup paperSize="9" orientation="landscape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IQ" sz="1400" b="0"/>
              <a:t>شكل رقم (4)
 كمية المواد الانشائية المستخدمة حسب المحافظات لسنه </a:t>
            </a:r>
            <a:r>
              <a:rPr lang="en-US" sz="1400" b="0"/>
              <a:t>2019 </a:t>
            </a:r>
            <a:r>
              <a:rPr lang="ar-IQ" sz="1400" b="0" baseline="0"/>
              <a:t> مادة </a:t>
            </a:r>
            <a:r>
              <a:rPr lang="ar-IQ" sz="1400" b="0"/>
              <a:t>(الطابوق والبلوك)</a:t>
            </a:r>
          </a:p>
        </c:rich>
      </c:tx>
      <c:layout>
        <c:manualLayout>
          <c:xMode val="edge"/>
          <c:yMode val="edge"/>
          <c:x val="0.1896330220996677"/>
          <c:y val="2.498027072458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67268456083869E-2"/>
          <c:y val="0.13161366240531014"/>
          <c:w val="0.88525804440190836"/>
          <c:h val="0.74056532714493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طابوق!$C$4</c:f>
              <c:strCache>
                <c:ptCount val="1"/>
                <c:pt idx="0">
                  <c:v> طابوق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بلوك!$A$9:$A$23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طابوق!$J$9:$J$23</c:f>
              <c:numCache>
                <c:formatCode>#,##0</c:formatCode>
                <c:ptCount val="15"/>
                <c:pt idx="0">
                  <c:v>20.971</c:v>
                </c:pt>
                <c:pt idx="1">
                  <c:v>15407.102999999999</c:v>
                </c:pt>
                <c:pt idx="2">
                  <c:v>46699.845999999998</c:v>
                </c:pt>
                <c:pt idx="3">
                  <c:v>10847.386</c:v>
                </c:pt>
                <c:pt idx="4">
                  <c:v>228307.77799999999</c:v>
                </c:pt>
                <c:pt idx="5">
                  <c:v>57862.163999999997</c:v>
                </c:pt>
                <c:pt idx="6">
                  <c:v>23340.485000000001</c:v>
                </c:pt>
                <c:pt idx="7">
                  <c:v>21092.995999999999</c:v>
                </c:pt>
                <c:pt idx="8">
                  <c:v>37213.379999999997</c:v>
                </c:pt>
                <c:pt idx="9">
                  <c:v>36314.211000000003</c:v>
                </c:pt>
                <c:pt idx="10">
                  <c:v>27488.204000000002</c:v>
                </c:pt>
                <c:pt idx="11">
                  <c:v>17366.096999999998</c:v>
                </c:pt>
                <c:pt idx="12">
                  <c:v>68700.86</c:v>
                </c:pt>
                <c:pt idx="13">
                  <c:v>9172.18</c:v>
                </c:pt>
                <c:pt idx="14">
                  <c:v>46768.664000000004</c:v>
                </c:pt>
              </c:numCache>
            </c:numRef>
          </c:val>
        </c:ser>
        <c:ser>
          <c:idx val="0"/>
          <c:order val="1"/>
          <c:tx>
            <c:strRef>
              <c:f>بلوك!$C$4</c:f>
              <c:strCache>
                <c:ptCount val="1"/>
                <c:pt idx="0">
                  <c:v> بلوك        </c:v>
                </c:pt>
              </c:strCache>
            </c:strRef>
          </c:tx>
          <c:spPr>
            <a:solidFill>
              <a:srgbClr val="FF0000"/>
            </a:solidFill>
            <a:ln w="38100">
              <a:noFill/>
              <a:prstDash val="solid"/>
            </a:ln>
          </c:spPr>
          <c:invertIfNegative val="0"/>
          <c:cat>
            <c:strRef>
              <c:f>بلوك!$A$9:$A$23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بلوك!$H$9:$H$23</c:f>
              <c:numCache>
                <c:formatCode>#,##0</c:formatCode>
                <c:ptCount val="15"/>
                <c:pt idx="0">
                  <c:v>1382.5160000000001</c:v>
                </c:pt>
                <c:pt idx="1">
                  <c:v>4136.9840000000004</c:v>
                </c:pt>
                <c:pt idx="2">
                  <c:v>3796.7510000000002</c:v>
                </c:pt>
                <c:pt idx="3">
                  <c:v>605.16200000000003</c:v>
                </c:pt>
                <c:pt idx="4">
                  <c:v>4543.5140000000001</c:v>
                </c:pt>
                <c:pt idx="5">
                  <c:v>2336.5640000000003</c:v>
                </c:pt>
                <c:pt idx="6">
                  <c:v>684.09899999999993</c:v>
                </c:pt>
                <c:pt idx="7">
                  <c:v>667.726</c:v>
                </c:pt>
                <c:pt idx="8">
                  <c:v>2251.194</c:v>
                </c:pt>
                <c:pt idx="9">
                  <c:v>396.65600000000001</c:v>
                </c:pt>
                <c:pt idx="10">
                  <c:v>493.17599999999999</c:v>
                </c:pt>
                <c:pt idx="11">
                  <c:v>173.57300000000001</c:v>
                </c:pt>
                <c:pt idx="12">
                  <c:v>8404.6470000000008</c:v>
                </c:pt>
                <c:pt idx="13">
                  <c:v>19.234000000000002</c:v>
                </c:pt>
                <c:pt idx="14">
                  <c:v>7558.0050000000001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75520"/>
        <c:axId val="111944256"/>
      </c:barChart>
      <c:catAx>
        <c:axId val="11127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 sz="1100" b="0"/>
                  <a:t>المحافظة</a:t>
                </a:r>
              </a:p>
            </c:rich>
          </c:tx>
          <c:layout>
            <c:manualLayout>
              <c:xMode val="edge"/>
              <c:yMode val="edge"/>
              <c:x val="0.92054915217424438"/>
              <c:y val="0.91538671149252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944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9442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 sz="1100" b="0"/>
                  <a:t>العدد</a:t>
                </a:r>
              </a:p>
            </c:rich>
          </c:tx>
          <c:layout>
            <c:manualLayout>
              <c:xMode val="edge"/>
              <c:yMode val="edge"/>
              <c:x val="4.2249756596661345E-2"/>
              <c:y val="4.65523968045704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275520"/>
        <c:crosses val="autoZero"/>
        <c:crossBetween val="between"/>
      </c:valAx>
      <c:spPr>
        <a:solidFill>
          <a:srgbClr val="FFFFFF"/>
        </a:solidFill>
        <a:ln w="381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12710082510401"/>
          <c:y val="0.24517012389821849"/>
          <c:w val="7.5472046345079646E-2"/>
          <c:h val="0.1505837388303990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&amp;C27</c:oddFooter>
    </c:headerFooter>
    <c:pageMargins b="0.98425196850393659" l="0.55118110236220452" r="0.74803149606299346" t="0.98425196850393659" header="0.51181102362204722" footer="0.51181102362204722"/>
    <c:pageSetup orientation="landscape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/>
            </a:pPr>
            <a:r>
              <a:rPr lang="ar-IQ" sz="1400" b="0"/>
              <a:t>شكل رقم (5)
كمية المواد المستخدمة في البناء حسب المحافظات لسنة 2018 مادة ( الحجر والحصى  )</a:t>
            </a:r>
          </a:p>
        </c:rich>
      </c:tx>
      <c:layout>
        <c:manualLayout>
          <c:xMode val="edge"/>
          <c:yMode val="edge"/>
          <c:x val="0.2067576009620323"/>
          <c:y val="4.1741408829920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62428148644094"/>
          <c:y val="0.17307691960191718"/>
          <c:w val="0.76871794878644673"/>
          <c:h val="0.63811188811190001"/>
        </c:manualLayout>
      </c:layout>
      <c:barChart>
        <c:barDir val="col"/>
        <c:grouping val="clustered"/>
        <c:varyColors val="0"/>
        <c:ser>
          <c:idx val="0"/>
          <c:order val="0"/>
          <c:tx>
            <c:v>حجر</c:v>
          </c:tx>
          <c:invertIfNegative val="0"/>
          <c:cat>
            <c:strRef>
              <c:f>حصى!$A$11:$A$25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حجر!$F$11:$F$16</c:f>
              <c:numCache>
                <c:formatCode>#,##0</c:formatCode>
                <c:ptCount val="6"/>
                <c:pt idx="0">
                  <c:v>65004</c:v>
                </c:pt>
                <c:pt idx="1">
                  <c:v>111123</c:v>
                </c:pt>
                <c:pt idx="2">
                  <c:v>16784</c:v>
                </c:pt>
                <c:pt idx="3">
                  <c:v>122985</c:v>
                </c:pt>
                <c:pt idx="4">
                  <c:v>10128</c:v>
                </c:pt>
                <c:pt idx="5">
                  <c:v>134</c:v>
                </c:pt>
              </c:numCache>
            </c:numRef>
          </c:val>
        </c:ser>
        <c:ser>
          <c:idx val="1"/>
          <c:order val="1"/>
          <c:tx>
            <c:strRef>
              <c:f>حصى!$C$6</c:f>
              <c:strCache>
                <c:ptCount val="1"/>
                <c:pt idx="0">
                  <c:v>حصى</c:v>
                </c:pt>
              </c:strCache>
            </c:strRef>
          </c:tx>
          <c:invertIfNegative val="0"/>
          <c:cat>
            <c:strRef>
              <c:f>حصى!$A$11:$A$25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حصى!$F$11:$F$25</c:f>
              <c:numCache>
                <c:formatCode>#,##0</c:formatCode>
                <c:ptCount val="15"/>
                <c:pt idx="0">
                  <c:v>25402</c:v>
                </c:pt>
                <c:pt idx="1">
                  <c:v>55768</c:v>
                </c:pt>
                <c:pt idx="2">
                  <c:v>92852</c:v>
                </c:pt>
                <c:pt idx="3">
                  <c:v>29048</c:v>
                </c:pt>
                <c:pt idx="4">
                  <c:v>373570</c:v>
                </c:pt>
                <c:pt idx="5">
                  <c:v>62064</c:v>
                </c:pt>
                <c:pt idx="6">
                  <c:v>57955</c:v>
                </c:pt>
                <c:pt idx="7">
                  <c:v>32850</c:v>
                </c:pt>
                <c:pt idx="8">
                  <c:v>46461</c:v>
                </c:pt>
                <c:pt idx="9">
                  <c:v>90039</c:v>
                </c:pt>
                <c:pt idx="10">
                  <c:v>46666</c:v>
                </c:pt>
                <c:pt idx="11">
                  <c:v>30914</c:v>
                </c:pt>
                <c:pt idx="12">
                  <c:v>35867</c:v>
                </c:pt>
                <c:pt idx="13">
                  <c:v>9927</c:v>
                </c:pt>
                <c:pt idx="14">
                  <c:v>67086</c:v>
                </c:pt>
              </c:numCache>
            </c:numRef>
          </c:val>
        </c:ser>
        <c:ser>
          <c:idx val="2"/>
          <c:order val="2"/>
          <c:tx>
            <c:strRef>
              <c:f>رمل!$C$5</c:f>
              <c:strCache>
                <c:ptCount val="1"/>
                <c:pt idx="0">
                  <c:v> رمل</c:v>
                </c:pt>
              </c:strCache>
            </c:strRef>
          </c:tx>
          <c:invertIfNegative val="0"/>
          <c:cat>
            <c:strRef>
              <c:f>حصى!$A$11:$A$25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رمل!$F$10:$F$24</c:f>
              <c:numCache>
                <c:formatCode>#,##0</c:formatCode>
                <c:ptCount val="15"/>
                <c:pt idx="0">
                  <c:v>30.471999999999998</c:v>
                </c:pt>
                <c:pt idx="1">
                  <c:v>57.319000000000003</c:v>
                </c:pt>
                <c:pt idx="2">
                  <c:v>96.38300000000001</c:v>
                </c:pt>
                <c:pt idx="3">
                  <c:v>34.829000000000001</c:v>
                </c:pt>
                <c:pt idx="4">
                  <c:v>870.149</c:v>
                </c:pt>
                <c:pt idx="5">
                  <c:v>92.43</c:v>
                </c:pt>
                <c:pt idx="6">
                  <c:v>56.701999999999998</c:v>
                </c:pt>
                <c:pt idx="7">
                  <c:v>52.921000000000006</c:v>
                </c:pt>
                <c:pt idx="8">
                  <c:v>42.170999999999999</c:v>
                </c:pt>
                <c:pt idx="9">
                  <c:v>106.401</c:v>
                </c:pt>
                <c:pt idx="10">
                  <c:v>53.203000000000003</c:v>
                </c:pt>
                <c:pt idx="11">
                  <c:v>56.808999999999997</c:v>
                </c:pt>
                <c:pt idx="12">
                  <c:v>116.559</c:v>
                </c:pt>
                <c:pt idx="13">
                  <c:v>22.023</c:v>
                </c:pt>
                <c:pt idx="14">
                  <c:v>112.303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16896"/>
        <c:axId val="105607680"/>
      </c:barChart>
      <c:catAx>
        <c:axId val="11201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ar-IQ"/>
                  <a:t>المحافظة</a:t>
                </a:r>
              </a:p>
            </c:rich>
          </c:tx>
          <c:layout>
            <c:manualLayout>
              <c:xMode val="edge"/>
              <c:yMode val="edge"/>
              <c:x val="0.93012443080357288"/>
              <c:y val="0.821338356801785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340000" vert="horz"/>
          <a:lstStyle/>
          <a:p>
            <a:pPr>
              <a:defRPr lang="en-US"/>
            </a:pPr>
            <a:endParaRPr lang="en-US"/>
          </a:p>
        </c:txPr>
        <c:crossAx val="105607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6076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ar-IQ"/>
                  <a:t>الكمية</a:t>
                </a:r>
              </a:p>
            </c:rich>
          </c:tx>
          <c:layout>
            <c:manualLayout>
              <c:xMode val="edge"/>
              <c:yMode val="edge"/>
              <c:x val="7.1028136887253679E-2"/>
              <c:y val="0.1275379436266119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12016896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83886942176508383"/>
          <c:y val="0.4277389277389278"/>
          <c:w val="5.7097906252179524E-2"/>
          <c:h val="0.13046835054710093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 alignWithMargins="0">
      <c:oddFooter>&amp;C31</c:oddFooter>
    </c:headerFooter>
    <c:pageMargins b="1" l="0.75000000000000844" r="1.49" t="1" header="0.5" footer="0.5"/>
    <c:pageSetup paperSize="9" orientation="landscape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/>
            </a:pPr>
            <a:r>
              <a:rPr lang="ar-IQ" sz="1400" b="0"/>
              <a:t>شكل رقم (6)
كمية المواد الانشائية المستخدمة حسب المحافظات لسنة </a:t>
            </a:r>
            <a:r>
              <a:rPr lang="en-US" sz="1400" b="0"/>
              <a:t>2019 </a:t>
            </a:r>
            <a:r>
              <a:rPr lang="ar-IQ" sz="1400" b="0" baseline="0"/>
              <a:t> مادة (جص ، سمنت )</a:t>
            </a:r>
            <a:endParaRPr lang="ar-IQ" sz="1400" b="0"/>
          </a:p>
        </c:rich>
      </c:tx>
      <c:layout>
        <c:manualLayout>
          <c:xMode val="edge"/>
          <c:yMode val="edge"/>
          <c:x val="0.19939837127644824"/>
          <c:y val="3.2564939534842408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618536181686"/>
          <c:y val="0.12706291103114531"/>
          <c:w val="0.85490837513617701"/>
          <c:h val="0.65977110729179433"/>
        </c:manualLayout>
      </c:layout>
      <c:bar3DChart>
        <c:barDir val="col"/>
        <c:grouping val="clustered"/>
        <c:varyColors val="0"/>
        <c:ser>
          <c:idx val="0"/>
          <c:order val="0"/>
          <c:tx>
            <c:v>جص</c:v>
          </c:tx>
          <c:invertIfNegative val="0"/>
          <c:cat>
            <c:strRef>
              <c:f>جص!$A$10:$A$24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جص!$F$10:$F$24</c:f>
              <c:numCache>
                <c:formatCode>#,##0</c:formatCode>
                <c:ptCount val="15"/>
                <c:pt idx="0">
                  <c:v>5025</c:v>
                </c:pt>
                <c:pt idx="1">
                  <c:v>31015</c:v>
                </c:pt>
                <c:pt idx="2">
                  <c:v>36467</c:v>
                </c:pt>
                <c:pt idx="3">
                  <c:v>8673</c:v>
                </c:pt>
                <c:pt idx="4">
                  <c:v>164515</c:v>
                </c:pt>
                <c:pt idx="5">
                  <c:v>9308</c:v>
                </c:pt>
                <c:pt idx="6">
                  <c:v>15624</c:v>
                </c:pt>
                <c:pt idx="7">
                  <c:v>6302</c:v>
                </c:pt>
                <c:pt idx="8">
                  <c:v>12294</c:v>
                </c:pt>
                <c:pt idx="9">
                  <c:v>17360</c:v>
                </c:pt>
                <c:pt idx="10">
                  <c:v>2949</c:v>
                </c:pt>
                <c:pt idx="11">
                  <c:v>6607</c:v>
                </c:pt>
                <c:pt idx="12">
                  <c:v>5309</c:v>
                </c:pt>
                <c:pt idx="13">
                  <c:v>2204</c:v>
                </c:pt>
                <c:pt idx="14">
                  <c:v>30084</c:v>
                </c:pt>
              </c:numCache>
            </c:numRef>
          </c:val>
        </c:ser>
        <c:ser>
          <c:idx val="1"/>
          <c:order val="1"/>
          <c:tx>
            <c:v>سمنت</c:v>
          </c:tx>
          <c:invertIfNegative val="0"/>
          <c:val>
            <c:numRef>
              <c:f>سمنت!$H$9:$H$23</c:f>
              <c:numCache>
                <c:formatCode>#,##0</c:formatCode>
                <c:ptCount val="15"/>
                <c:pt idx="0">
                  <c:v>11143</c:v>
                </c:pt>
                <c:pt idx="1">
                  <c:v>26519</c:v>
                </c:pt>
                <c:pt idx="2">
                  <c:v>40410</c:v>
                </c:pt>
                <c:pt idx="3">
                  <c:v>13667</c:v>
                </c:pt>
                <c:pt idx="4">
                  <c:v>212791</c:v>
                </c:pt>
                <c:pt idx="5">
                  <c:v>33242</c:v>
                </c:pt>
                <c:pt idx="6">
                  <c:v>31944</c:v>
                </c:pt>
                <c:pt idx="7">
                  <c:v>23407</c:v>
                </c:pt>
                <c:pt idx="8">
                  <c:v>15834</c:v>
                </c:pt>
                <c:pt idx="9">
                  <c:v>42970</c:v>
                </c:pt>
                <c:pt idx="10">
                  <c:v>27478</c:v>
                </c:pt>
                <c:pt idx="11">
                  <c:v>25760</c:v>
                </c:pt>
                <c:pt idx="12">
                  <c:v>31551</c:v>
                </c:pt>
                <c:pt idx="13">
                  <c:v>6984</c:v>
                </c:pt>
                <c:pt idx="14">
                  <c:v>49774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2078336"/>
        <c:axId val="111947712"/>
        <c:axId val="0"/>
      </c:bar3DChart>
      <c:catAx>
        <c:axId val="11207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ar-IQ"/>
                  <a:t>المحافظة</a:t>
                </a:r>
              </a:p>
            </c:rich>
          </c:tx>
          <c:layout>
            <c:manualLayout>
              <c:xMode val="edge"/>
              <c:yMode val="edge"/>
              <c:x val="0.88336762456898166"/>
              <c:y val="0.7834442268320520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1560000" vert="horz"/>
          <a:lstStyle/>
          <a:p>
            <a:pPr>
              <a:defRPr lang="en-US"/>
            </a:pPr>
            <a:endParaRPr lang="en-US"/>
          </a:p>
        </c:txPr>
        <c:crossAx val="11194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9477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ar-IQ"/>
                  <a:t>الكمية</a:t>
                </a:r>
              </a:p>
            </c:rich>
          </c:tx>
          <c:layout>
            <c:manualLayout>
              <c:xMode val="edge"/>
              <c:yMode val="edge"/>
              <c:x val="3.1363032186072802E-2"/>
              <c:y val="0.1104918484174249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12078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655383984220658"/>
          <c:y val="0.45049577547406588"/>
          <c:w val="7.8989186079597845E-2"/>
          <c:h val="0.12047341798011379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Footer>&amp;C34</c:oddFooter>
    </c:headerFooter>
    <c:pageMargins b="1" l="0.42000000000000032" r="0.85000000000000064" t="1" header="0.5" footer="0.5"/>
    <c:pageSetup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/>
            </a:pPr>
            <a:r>
              <a:rPr lang="ar-IQ" sz="1400" b="0"/>
              <a:t>شكل رقم (7)
كمية المواد الانشائية المستخدمة في البناء حسب المحافظات لسنة  </a:t>
            </a:r>
            <a:r>
              <a:rPr lang="en-US" sz="1400" b="0"/>
              <a:t>2019</a:t>
            </a:r>
            <a:r>
              <a:rPr lang="ar-IQ" sz="1400" b="0"/>
              <a:t> مادة الكاشي </a:t>
            </a:r>
          </a:p>
        </c:rich>
      </c:tx>
      <c:layout>
        <c:manualLayout>
          <c:xMode val="edge"/>
          <c:yMode val="edge"/>
          <c:x val="0.1872749099639856"/>
          <c:y val="2.7777777777780729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782031328870029E-2"/>
          <c:y val="0.16639271400782144"/>
          <c:w val="0.9358476328573031"/>
          <c:h val="0.742013111227044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كاشي!$C$4</c:f>
              <c:strCache>
                <c:ptCount val="1"/>
                <c:pt idx="0">
                  <c:v> بلاط الارضية     (كاشي)</c:v>
                </c:pt>
              </c:strCache>
            </c:strRef>
          </c:tx>
          <c:invertIfNegative val="0"/>
          <c:cat>
            <c:strRef>
              <c:f>كاشي!$A$9:$A$23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كاشي2!$I$9:$I$23</c:f>
              <c:numCache>
                <c:formatCode>#,##0</c:formatCode>
                <c:ptCount val="15"/>
                <c:pt idx="0">
                  <c:v>1204</c:v>
                </c:pt>
                <c:pt idx="1">
                  <c:v>3197</c:v>
                </c:pt>
                <c:pt idx="2">
                  <c:v>6152</c:v>
                </c:pt>
                <c:pt idx="3">
                  <c:v>1684</c:v>
                </c:pt>
                <c:pt idx="4">
                  <c:v>30381</c:v>
                </c:pt>
                <c:pt idx="5">
                  <c:v>5173</c:v>
                </c:pt>
                <c:pt idx="6">
                  <c:v>3635</c:v>
                </c:pt>
                <c:pt idx="7">
                  <c:v>2500</c:v>
                </c:pt>
                <c:pt idx="8">
                  <c:v>1547</c:v>
                </c:pt>
                <c:pt idx="9">
                  <c:v>6253</c:v>
                </c:pt>
                <c:pt idx="10">
                  <c:v>2613</c:v>
                </c:pt>
                <c:pt idx="11">
                  <c:v>2251</c:v>
                </c:pt>
                <c:pt idx="12">
                  <c:v>5255</c:v>
                </c:pt>
                <c:pt idx="13">
                  <c:v>642</c:v>
                </c:pt>
                <c:pt idx="14">
                  <c:v>7152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209408"/>
        <c:axId val="111949440"/>
        <c:axId val="0"/>
      </c:bar3DChart>
      <c:catAx>
        <c:axId val="11220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ar-IQ"/>
                  <a:t>المحافظة</a:t>
                </a:r>
              </a:p>
            </c:rich>
          </c:tx>
          <c:layout>
            <c:manualLayout>
              <c:xMode val="edge"/>
              <c:yMode val="edge"/>
              <c:x val="0.89288538438279075"/>
              <c:y val="0.905010979944918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3600000" vert="horz"/>
          <a:lstStyle/>
          <a:p>
            <a:pPr>
              <a:defRPr lang="en-US"/>
            </a:pPr>
            <a:endParaRPr lang="en-US"/>
          </a:p>
        </c:txPr>
        <c:crossAx val="11194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9494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ar-IQ"/>
                  <a:t>الكمية</a:t>
                </a:r>
              </a:p>
            </c:rich>
          </c:tx>
          <c:layout>
            <c:manualLayout>
              <c:xMode val="edge"/>
              <c:yMode val="edge"/>
              <c:x val="9.175389704244967E-2"/>
              <c:y val="0.1251867399471830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12209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2389995372755"/>
          <c:y val="0.14755315061734386"/>
          <c:w val="0.20476342261659591"/>
          <c:h val="7.4535667633225347E-2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 alignWithMargins="0">
      <c:oddFooter>&amp;C37</c:oddFooter>
    </c:headerFooter>
    <c:pageMargins b="0.98425196850393659" l="0.23622047244094499" r="1.1417322834645698" t="0.98425196850393659" header="0.511811023622047" footer="0.511811023622047"/>
    <c:pageSetup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171450</xdr:colOff>
      <xdr:row>53</xdr:row>
      <xdr:rowOff>47625</xdr:rowOff>
    </xdr:from>
    <xdr:to>
      <xdr:col>33</xdr:col>
      <xdr:colOff>438150</xdr:colOff>
      <xdr:row>78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28</xdr:row>
      <xdr:rowOff>0</xdr:rowOff>
    </xdr:from>
    <xdr:to>
      <xdr:col>7</xdr:col>
      <xdr:colOff>381000</xdr:colOff>
      <xdr:row>55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12</xdr:col>
      <xdr:colOff>114299</xdr:colOff>
      <xdr:row>34</xdr:row>
      <xdr:rowOff>123825</xdr:rowOff>
    </xdr:to>
    <xdr:graphicFrame macro="">
      <xdr:nvGraphicFramePr>
        <xdr:cNvPr id="205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13</xdr:col>
      <xdr:colOff>533399</xdr:colOff>
      <xdr:row>38</xdr:row>
      <xdr:rowOff>85725</xdr:rowOff>
    </xdr:to>
    <xdr:graphicFrame macro="">
      <xdr:nvGraphicFramePr>
        <xdr:cNvPr id="215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0.49467</cdr:x>
      <cdr:y>0.0625</cdr:y>
    </cdr:from>
    <cdr:to>
      <cdr:x>0.57993</cdr:x>
      <cdr:y>0.12109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05425" y="304799"/>
          <a:ext cx="914400" cy="285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0.51421</cdr:x>
      <cdr:y>0.05343</cdr:y>
    </cdr:from>
    <cdr:to>
      <cdr:x>0.59947</cdr:x>
      <cdr:y>0.23664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514975" y="26669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0.53908</cdr:x>
      <cdr:y>0.13931</cdr:y>
    </cdr:from>
    <cdr:to>
      <cdr:x>0.62433</cdr:x>
      <cdr:y>0.19275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781675" y="695324"/>
          <a:ext cx="9144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0.51066</cdr:x>
      <cdr:y>0.12405</cdr:y>
    </cdr:from>
    <cdr:to>
      <cdr:x>0.59591</cdr:x>
      <cdr:y>0.30725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476875" y="6191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0.46359</cdr:x>
      <cdr:y>0.09351</cdr:y>
    </cdr:from>
    <cdr:to>
      <cdr:x>0.54885</cdr:x>
      <cdr:y>0.19084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972050" y="466724"/>
          <a:ext cx="914400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400" b="1"/>
            <a:t>شكل (1)</a:t>
          </a:r>
          <a:endParaRPr lang="en-US" sz="1400" b="1"/>
        </a:p>
      </cdr:txBody>
    </cdr:sp>
  </cdr:relSizeAnchor>
  <cdr:relSizeAnchor xmlns:cdr="http://schemas.openxmlformats.org/drawingml/2006/chartDrawing">
    <cdr:from>
      <cdr:x>0.18472</cdr:x>
      <cdr:y>0.8416</cdr:y>
    </cdr:from>
    <cdr:to>
      <cdr:x>0.23623</cdr:x>
      <cdr:y>0.88359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981201" y="4200524"/>
          <a:ext cx="5524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/>
            <a:t>2008</a:t>
          </a:r>
          <a:endParaRPr lang="en-US" sz="1100"/>
        </a:p>
      </cdr:txBody>
    </cdr:sp>
  </cdr:relSizeAnchor>
  <cdr:relSizeAnchor xmlns:cdr="http://schemas.openxmlformats.org/drawingml/2006/chartDrawing">
    <cdr:from>
      <cdr:x>0.26909</cdr:x>
      <cdr:y>0.81679</cdr:y>
    </cdr:from>
    <cdr:to>
      <cdr:x>0.35435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886075" y="425767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0.25311</cdr:x>
      <cdr:y>0.84351</cdr:y>
    </cdr:from>
    <cdr:to>
      <cdr:x>0.33837</cdr:x>
      <cdr:y>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2714625" y="4210048"/>
          <a:ext cx="914400" cy="781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/>
            <a:t>2009</a:t>
          </a:r>
          <a:endParaRPr lang="en-US" sz="1100"/>
        </a:p>
      </cdr:txBody>
    </cdr:sp>
  </cdr:relSizeAnchor>
  <cdr:relSizeAnchor xmlns:cdr="http://schemas.openxmlformats.org/drawingml/2006/chartDrawing">
    <cdr:from>
      <cdr:x>0.29929</cdr:x>
      <cdr:y>0.81679</cdr:y>
    </cdr:from>
    <cdr:to>
      <cdr:x>0.36412</cdr:x>
      <cdr:y>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209925" y="4076700"/>
          <a:ext cx="69532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0.30462</cdr:x>
      <cdr:y>0.84351</cdr:y>
    </cdr:from>
    <cdr:to>
      <cdr:x>0.38988</cdr:x>
      <cdr:y>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267075" y="4210048"/>
          <a:ext cx="914400" cy="781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/>
            <a:t>2010</a:t>
          </a:r>
          <a:endParaRPr lang="en-US" sz="1100"/>
        </a:p>
      </cdr:txBody>
    </cdr:sp>
  </cdr:relSizeAnchor>
  <cdr:relSizeAnchor xmlns:cdr="http://schemas.openxmlformats.org/drawingml/2006/chartDrawing">
    <cdr:from>
      <cdr:x>0.36146</cdr:x>
      <cdr:y>0.84351</cdr:y>
    </cdr:from>
    <cdr:to>
      <cdr:x>0.44671</cdr:x>
      <cdr:y>1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3876675" y="4210048"/>
          <a:ext cx="914400" cy="781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/>
            <a:t>2011</a:t>
          </a:r>
          <a:endParaRPr lang="en-US" sz="1100"/>
        </a:p>
      </cdr:txBody>
    </cdr:sp>
  </cdr:relSizeAnchor>
  <cdr:relSizeAnchor xmlns:cdr="http://schemas.openxmlformats.org/drawingml/2006/chartDrawing">
    <cdr:from>
      <cdr:x>0.43872</cdr:x>
      <cdr:y>0.81679</cdr:y>
    </cdr:from>
    <cdr:to>
      <cdr:x>0.52398</cdr:x>
      <cdr:y>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4705350" y="422909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0.4103</cdr:x>
      <cdr:y>0.8416</cdr:y>
    </cdr:from>
    <cdr:to>
      <cdr:x>0.49556</cdr:x>
      <cdr:y>1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400550" y="4200524"/>
          <a:ext cx="914400" cy="790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/>
            <a:t>2012</a:t>
          </a:r>
          <a:endParaRPr lang="en-US" sz="1100"/>
        </a:p>
      </cdr:txBody>
    </cdr:sp>
  </cdr:relSizeAnchor>
  <cdr:relSizeAnchor xmlns:cdr="http://schemas.openxmlformats.org/drawingml/2006/chartDrawing">
    <cdr:from>
      <cdr:x>0.46181</cdr:x>
      <cdr:y>0.82061</cdr:y>
    </cdr:from>
    <cdr:to>
      <cdr:x>0.48934</cdr:x>
      <cdr:y>1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4953000" y="4095749"/>
          <a:ext cx="295275" cy="8953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0.45826</cdr:x>
      <cdr:y>0.8416</cdr:y>
    </cdr:from>
    <cdr:to>
      <cdr:x>0.5</cdr:x>
      <cdr:y>1</cdr:y>
    </cdr:to>
    <cdr:sp macro="" textlink="">
      <cdr:nvSpPr>
        <cdr:cNvPr id="17" name="TextBox 16"/>
        <cdr:cNvSpPr txBox="1"/>
      </cdr:nvSpPr>
      <cdr:spPr>
        <a:xfrm xmlns:a="http://schemas.openxmlformats.org/drawingml/2006/main">
          <a:off x="4914901" y="4200524"/>
          <a:ext cx="447674" cy="790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/>
            <a:t>2013</a:t>
          </a:r>
          <a:endParaRPr lang="en-US" sz="1100"/>
        </a:p>
      </cdr:txBody>
    </cdr:sp>
  </cdr:relSizeAnchor>
  <cdr:relSizeAnchor xmlns:cdr="http://schemas.openxmlformats.org/drawingml/2006/chartDrawing">
    <cdr:from>
      <cdr:x>0.51776</cdr:x>
      <cdr:y>0.84542</cdr:y>
    </cdr:from>
    <cdr:to>
      <cdr:x>0.60302</cdr:x>
      <cdr:y>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553075" y="4219574"/>
          <a:ext cx="914400" cy="771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0.5071</cdr:x>
      <cdr:y>0.83779</cdr:y>
    </cdr:from>
    <cdr:to>
      <cdr:x>0.57815</cdr:x>
      <cdr:y>0.89695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5438776" y="4181474"/>
          <a:ext cx="7620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0.50533</cdr:x>
      <cdr:y>0.85114</cdr:y>
    </cdr:from>
    <cdr:to>
      <cdr:x>0.59059</cdr:x>
      <cdr:y>1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5419725" y="4248148"/>
          <a:ext cx="914400" cy="742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0.50888</cdr:x>
      <cdr:y>0.83969</cdr:y>
    </cdr:from>
    <cdr:to>
      <cdr:x>0.63943</cdr:x>
      <cdr:y>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5457824" y="4190999"/>
          <a:ext cx="1400175" cy="800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/>
            <a:t>2014</a:t>
          </a:r>
          <a:endParaRPr lang="en-US" sz="1100"/>
        </a:p>
      </cdr:txBody>
    </cdr:sp>
  </cdr:relSizeAnchor>
  <cdr:relSizeAnchor xmlns:cdr="http://schemas.openxmlformats.org/drawingml/2006/chartDrawing">
    <cdr:from>
      <cdr:x>0.57993</cdr:x>
      <cdr:y>0.83779</cdr:y>
    </cdr:from>
    <cdr:to>
      <cdr:x>0.64831</cdr:x>
      <cdr:y>1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6219825" y="4181474"/>
          <a:ext cx="733425" cy="809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0.61812</cdr:x>
      <cdr:y>0.81679</cdr:y>
    </cdr:from>
    <cdr:to>
      <cdr:x>0.70337</cdr:x>
      <cdr:y>1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6629400" y="438149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0.56217</cdr:x>
      <cdr:y>0.83969</cdr:y>
    </cdr:from>
    <cdr:to>
      <cdr:x>0.63766</cdr:x>
      <cdr:y>1</cdr:y>
    </cdr:to>
    <cdr:sp macro="" textlink="">
      <cdr:nvSpPr>
        <cdr:cNvPr id="24" name="TextBox 23"/>
        <cdr:cNvSpPr txBox="1"/>
      </cdr:nvSpPr>
      <cdr:spPr>
        <a:xfrm xmlns:a="http://schemas.openxmlformats.org/drawingml/2006/main">
          <a:off x="6029325" y="4190998"/>
          <a:ext cx="809625" cy="800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/>
            <a:t>2015</a:t>
          </a:r>
          <a:endParaRPr lang="en-US" sz="1100"/>
        </a:p>
      </cdr:txBody>
    </cdr:sp>
  </cdr:relSizeAnchor>
  <cdr:relSizeAnchor xmlns:cdr="http://schemas.openxmlformats.org/drawingml/2006/chartDrawing">
    <cdr:from>
      <cdr:x>0.62433</cdr:x>
      <cdr:y>0.81679</cdr:y>
    </cdr:from>
    <cdr:to>
      <cdr:x>0.70959</cdr:x>
      <cdr:y>1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6696075" y="425767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0.61279</cdr:x>
      <cdr:y>0.83779</cdr:y>
    </cdr:from>
    <cdr:to>
      <cdr:x>0.68561</cdr:x>
      <cdr:y>1</cdr:y>
    </cdr:to>
    <cdr:sp macro="" textlink="">
      <cdr:nvSpPr>
        <cdr:cNvPr id="26" name="TextBox 25"/>
        <cdr:cNvSpPr txBox="1"/>
      </cdr:nvSpPr>
      <cdr:spPr>
        <a:xfrm xmlns:a="http://schemas.openxmlformats.org/drawingml/2006/main">
          <a:off x="6572250" y="4181474"/>
          <a:ext cx="781050" cy="809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/>
            <a:t>2016</a:t>
          </a:r>
          <a:endParaRPr lang="en-US" sz="1100"/>
        </a:p>
      </cdr:txBody>
    </cdr:sp>
  </cdr:relSizeAnchor>
  <cdr:relSizeAnchor xmlns:cdr="http://schemas.openxmlformats.org/drawingml/2006/chartDrawing">
    <cdr:from>
      <cdr:x>0.66075</cdr:x>
      <cdr:y>0.83779</cdr:y>
    </cdr:from>
    <cdr:to>
      <cdr:x>0.73268</cdr:x>
      <cdr:y>1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7086599" y="4181474"/>
          <a:ext cx="771525" cy="809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/>
            <a:t>2017</a:t>
          </a:r>
          <a:endParaRPr lang="en-US" sz="1100"/>
        </a:p>
      </cdr:txBody>
    </cdr:sp>
  </cdr:relSizeAnchor>
  <cdr:relSizeAnchor xmlns:cdr="http://schemas.openxmlformats.org/drawingml/2006/chartDrawing">
    <cdr:from>
      <cdr:x>0.71581</cdr:x>
      <cdr:y>0.83969</cdr:y>
    </cdr:from>
    <cdr:to>
      <cdr:x>0.80107</cdr:x>
      <cdr:y>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7677150" y="4190998"/>
          <a:ext cx="914400" cy="800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/>
            <a:t>2018</a:t>
          </a:r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0.85233</cdr:x>
      <cdr:y>0.83836</cdr:y>
    </cdr:from>
    <cdr:to>
      <cdr:x>0.97668</cdr:x>
      <cdr:y>0.97845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67450" y="3705224"/>
          <a:ext cx="914400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/>
            <a:t>ا</a:t>
          </a:r>
          <a:r>
            <a:rPr lang="ar-IQ" sz="1100" b="1"/>
            <a:t>لكلفة</a:t>
          </a:r>
          <a:r>
            <a:rPr lang="ar-IQ" sz="1100" b="1" baseline="0"/>
            <a:t> </a:t>
          </a:r>
          <a:endParaRPr lang="en-US" sz="1100" b="1"/>
        </a:p>
      </cdr:txBody>
    </cdr:sp>
  </cdr:relSizeAnchor>
  <cdr:relSizeAnchor xmlns:cdr="http://schemas.openxmlformats.org/drawingml/2006/chartDrawing">
    <cdr:from>
      <cdr:x>0.13472</cdr:x>
      <cdr:y>0.1444</cdr:y>
    </cdr:from>
    <cdr:to>
      <cdr:x>0.25907</cdr:x>
      <cdr:y>0.35129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90600" y="638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 b="1"/>
            <a:t>الكمية</a:t>
          </a:r>
          <a:r>
            <a:rPr lang="ar-IQ" sz="1100"/>
            <a:t> </a:t>
          </a:r>
          <a:endParaRPr 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85725</xdr:rowOff>
    </xdr:from>
    <xdr:to>
      <xdr:col>13</xdr:col>
      <xdr:colOff>504826</xdr:colOff>
      <xdr:row>38</xdr:row>
      <xdr:rowOff>104775</xdr:rowOff>
    </xdr:to>
    <xdr:graphicFrame macro="">
      <xdr:nvGraphicFramePr>
        <xdr:cNvPr id="154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441325</xdr:colOff>
      <xdr:row>1</xdr:row>
      <xdr:rowOff>85725</xdr:rowOff>
    </xdr:from>
    <xdr:to>
      <xdr:col>13</xdr:col>
      <xdr:colOff>365125</xdr:colOff>
      <xdr:row>35</xdr:row>
      <xdr:rowOff>114300</xdr:rowOff>
    </xdr:to>
    <xdr:graphicFrame macro="">
      <xdr:nvGraphicFramePr>
        <xdr:cNvPr id="174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0.9187</cdr:x>
      <cdr:y>0.74182</cdr:y>
    </cdr:from>
    <cdr:to>
      <cdr:x>0.98211</cdr:x>
      <cdr:y>0.78497</cdr:y>
    </cdr:to>
    <cdr:sp macro="" textlink="">
      <cdr:nvSpPr>
        <cdr:cNvPr id="2" name="TextBox 1"/>
        <cdr:cNvSpPr txBox="1"/>
      </cdr:nvSpPr>
      <cdr:spPr>
        <a:xfrm xmlns:a="http://schemas.openxmlformats.org/drawingml/2006/main" rot="10800000" flipV="1">
          <a:off x="7175499" y="4105275"/>
          <a:ext cx="495299" cy="238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/>
        <a:p xmlns:a="http://schemas.openxmlformats.org/drawingml/2006/main">
          <a:r>
            <a:rPr lang="ar-IQ" sz="1100" b="1"/>
            <a:t>المحافظات</a:t>
          </a:r>
        </a:p>
      </cdr:txBody>
    </cdr:sp>
  </cdr:relSizeAnchor>
  <cdr:relSizeAnchor xmlns:cdr="http://schemas.openxmlformats.org/drawingml/2006/chartDrawing">
    <cdr:from>
      <cdr:x>0.13028</cdr:x>
      <cdr:y>0.1222</cdr:y>
    </cdr:from>
    <cdr:to>
      <cdr:x>0.24296</cdr:x>
      <cdr:y>0.28744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57275" y="676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/>
        <a:p xmlns:a="http://schemas.openxmlformats.org/drawingml/2006/main">
          <a:endParaRPr lang="ar-IQ" sz="1100"/>
        </a:p>
      </cdr:txBody>
    </cdr:sp>
  </cdr:relSizeAnchor>
  <cdr:relSizeAnchor xmlns:cdr="http://schemas.openxmlformats.org/drawingml/2006/chartDrawing">
    <cdr:from>
      <cdr:x>0.07519</cdr:x>
      <cdr:y>0.19277</cdr:y>
    </cdr:from>
    <cdr:to>
      <cdr:x>0.12559</cdr:x>
      <cdr:y>0.24441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93725" y="1066799"/>
          <a:ext cx="397961" cy="285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/>
        <a:p xmlns:a="http://schemas.openxmlformats.org/drawingml/2006/main">
          <a:r>
            <a:rPr lang="ar-IQ" sz="1100" b="1"/>
            <a:t>العدد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</xdr:row>
      <xdr:rowOff>19049</xdr:rowOff>
    </xdr:from>
    <xdr:to>
      <xdr:col>13</xdr:col>
      <xdr:colOff>342900</xdr:colOff>
      <xdr:row>27</xdr:row>
      <xdr:rowOff>47624</xdr:rowOff>
    </xdr:to>
    <xdr:graphicFrame macro="">
      <xdr:nvGraphicFramePr>
        <xdr:cNvPr id="184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0.84945</cdr:x>
      <cdr:y>0.33073</cdr:y>
    </cdr:from>
    <cdr:to>
      <cdr:x>0.91298</cdr:x>
      <cdr:y>0.39063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57874" y="1209675"/>
          <a:ext cx="4381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0.8674</cdr:x>
      <cdr:y>0.38542</cdr:y>
    </cdr:from>
    <cdr:to>
      <cdr:x>1</cdr:x>
      <cdr:y>0.63542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62674" y="1409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2</xdr:row>
      <xdr:rowOff>95249</xdr:rowOff>
    </xdr:from>
    <xdr:to>
      <xdr:col>15</xdr:col>
      <xdr:colOff>419100</xdr:colOff>
      <xdr:row>36</xdr:row>
      <xdr:rowOff>123824</xdr:rowOff>
    </xdr:to>
    <xdr:graphicFrame macro="">
      <xdr:nvGraphicFramePr>
        <xdr:cNvPr id="195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8"/>
  <sheetViews>
    <sheetView rightToLeft="1" tabSelected="1" showWhiteSpace="0" topLeftCell="A16" zoomScaleSheetLayoutView="100" workbookViewId="0">
      <selection activeCell="J24" sqref="J24"/>
    </sheetView>
  </sheetViews>
  <sheetFormatPr defaultRowHeight="12.75" x14ac:dyDescent="0.2"/>
  <cols>
    <col min="1" max="1" width="13" customWidth="1"/>
    <col min="2" max="2" width="14.7109375" customWidth="1"/>
    <col min="3" max="3" width="18.140625" customWidth="1"/>
    <col min="4" max="4" width="16.7109375" customWidth="1"/>
    <col min="5" max="5" width="18.7109375" customWidth="1"/>
    <col min="6" max="6" width="19.28515625" customWidth="1"/>
    <col min="7" max="7" width="20.7109375" customWidth="1"/>
    <col min="8" max="8" width="9" customWidth="1"/>
    <col min="9" max="9" width="9.7109375" customWidth="1"/>
  </cols>
  <sheetData>
    <row r="3" spans="1:11" ht="18.75" customHeight="1" x14ac:dyDescent="0.25">
      <c r="A3" s="845" t="s">
        <v>437</v>
      </c>
      <c r="B3" s="845"/>
      <c r="C3" s="845"/>
      <c r="D3" s="845"/>
      <c r="E3" s="845"/>
      <c r="F3" s="845"/>
      <c r="G3" s="845"/>
    </row>
    <row r="4" spans="1:11" ht="15" x14ac:dyDescent="0.25">
      <c r="A4" s="846" t="s">
        <v>507</v>
      </c>
      <c r="B4" s="846"/>
      <c r="C4" s="846"/>
      <c r="D4" s="846"/>
      <c r="E4" s="846"/>
      <c r="F4" s="846"/>
      <c r="G4" s="846"/>
    </row>
    <row r="5" spans="1:11" ht="15" x14ac:dyDescent="0.25">
      <c r="A5" s="23" t="s">
        <v>399</v>
      </c>
      <c r="B5" s="71"/>
      <c r="C5" s="71"/>
      <c r="D5" s="71"/>
      <c r="E5" s="71"/>
      <c r="F5" s="71"/>
      <c r="G5" s="164" t="s">
        <v>207</v>
      </c>
    </row>
    <row r="6" spans="1:11" ht="15.75" customHeight="1" x14ac:dyDescent="0.2">
      <c r="A6" s="162"/>
      <c r="B6" s="847" t="s">
        <v>279</v>
      </c>
      <c r="C6" s="848" t="s">
        <v>278</v>
      </c>
      <c r="D6" s="848" t="s">
        <v>280</v>
      </c>
      <c r="E6" s="848" t="s">
        <v>427</v>
      </c>
      <c r="F6" s="847" t="s">
        <v>204</v>
      </c>
      <c r="G6" s="848" t="s">
        <v>205</v>
      </c>
    </row>
    <row r="7" spans="1:11" ht="15" customHeight="1" x14ac:dyDescent="0.2">
      <c r="A7" s="182"/>
      <c r="B7" s="847"/>
      <c r="C7" s="848"/>
      <c r="D7" s="848"/>
      <c r="E7" s="848"/>
      <c r="F7" s="847"/>
      <c r="G7" s="848"/>
    </row>
    <row r="8" spans="1:11" ht="47.25" customHeight="1" x14ac:dyDescent="0.2">
      <c r="A8" s="183" t="s">
        <v>189</v>
      </c>
      <c r="B8" s="11" t="s">
        <v>357</v>
      </c>
      <c r="C8" s="12" t="s">
        <v>325</v>
      </c>
      <c r="D8" s="12" t="s">
        <v>327</v>
      </c>
      <c r="E8" s="12" t="s">
        <v>324</v>
      </c>
      <c r="F8" s="12" t="s">
        <v>323</v>
      </c>
      <c r="G8" s="13" t="s">
        <v>326</v>
      </c>
    </row>
    <row r="9" spans="1:11" ht="15" x14ac:dyDescent="0.2">
      <c r="A9" s="162" t="s">
        <v>350</v>
      </c>
      <c r="B9" s="239" t="s">
        <v>282</v>
      </c>
      <c r="C9" s="239" t="s">
        <v>282</v>
      </c>
      <c r="D9" s="239" t="s">
        <v>282</v>
      </c>
      <c r="E9" s="239" t="s">
        <v>131</v>
      </c>
      <c r="F9" s="239" t="s">
        <v>355</v>
      </c>
      <c r="G9" s="239" t="s">
        <v>206</v>
      </c>
    </row>
    <row r="10" spans="1:11" ht="15" customHeight="1" x14ac:dyDescent="0.25">
      <c r="A10" s="310">
        <v>2008</v>
      </c>
      <c r="B10" s="489">
        <v>544337</v>
      </c>
      <c r="C10" s="489">
        <v>422081</v>
      </c>
      <c r="D10" s="489">
        <v>132192</v>
      </c>
      <c r="E10" s="489">
        <v>14285</v>
      </c>
      <c r="F10" s="489">
        <v>10789</v>
      </c>
      <c r="G10" s="489">
        <v>7</v>
      </c>
      <c r="H10" s="313"/>
      <c r="I10" s="313"/>
      <c r="J10" s="313"/>
      <c r="K10" s="313"/>
    </row>
    <row r="11" spans="1:11" ht="15" customHeight="1" x14ac:dyDescent="0.25">
      <c r="A11" s="811">
        <v>2009</v>
      </c>
      <c r="B11" s="239">
        <v>1392693</v>
      </c>
      <c r="C11" s="239">
        <v>1059909</v>
      </c>
      <c r="D11" s="239">
        <v>332783</v>
      </c>
      <c r="E11" s="239">
        <v>38227</v>
      </c>
      <c r="F11" s="239">
        <v>12200</v>
      </c>
      <c r="G11" s="239">
        <v>19</v>
      </c>
      <c r="H11" s="313"/>
      <c r="I11" s="313"/>
      <c r="J11" s="313"/>
      <c r="K11" s="313"/>
    </row>
    <row r="12" spans="1:11" ht="15" customHeight="1" x14ac:dyDescent="0.25">
      <c r="A12" s="310">
        <v>2010</v>
      </c>
      <c r="B12" s="489">
        <v>1968163</v>
      </c>
      <c r="C12" s="489">
        <v>1486827</v>
      </c>
      <c r="D12" s="489">
        <v>481335</v>
      </c>
      <c r="E12" s="489">
        <v>36346</v>
      </c>
      <c r="F12" s="489">
        <v>12789</v>
      </c>
      <c r="G12" s="489">
        <v>17</v>
      </c>
      <c r="H12" s="313"/>
      <c r="I12" s="313"/>
      <c r="J12" s="313"/>
      <c r="K12" s="313"/>
    </row>
    <row r="13" spans="1:11" ht="15" customHeight="1" x14ac:dyDescent="0.25">
      <c r="A13" s="811">
        <v>2011</v>
      </c>
      <c r="B13" s="239">
        <v>2150495</v>
      </c>
      <c r="C13" s="239">
        <v>1583820</v>
      </c>
      <c r="D13" s="239">
        <v>566675</v>
      </c>
      <c r="E13" s="239">
        <v>48214</v>
      </c>
      <c r="F13" s="239">
        <v>14852</v>
      </c>
      <c r="G13" s="239">
        <v>10</v>
      </c>
      <c r="H13" s="313"/>
      <c r="I13" s="313"/>
      <c r="J13" s="313"/>
      <c r="K13" s="313"/>
    </row>
    <row r="14" spans="1:11" ht="15" x14ac:dyDescent="0.25">
      <c r="A14" s="310">
        <v>2012</v>
      </c>
      <c r="B14" s="489">
        <v>4421670</v>
      </c>
      <c r="C14" s="489">
        <v>3622019</v>
      </c>
      <c r="D14" s="489">
        <v>661140</v>
      </c>
      <c r="E14" s="489">
        <v>66391</v>
      </c>
      <c r="F14" s="489">
        <v>21828</v>
      </c>
      <c r="G14" s="489">
        <v>11</v>
      </c>
      <c r="H14" s="313"/>
      <c r="I14" s="313"/>
      <c r="J14" s="313"/>
      <c r="K14" s="313"/>
    </row>
    <row r="15" spans="1:11" ht="15" x14ac:dyDescent="0.25">
      <c r="A15" s="811">
        <v>2013</v>
      </c>
      <c r="B15" s="239" t="s">
        <v>353</v>
      </c>
      <c r="C15" s="239" t="s">
        <v>354</v>
      </c>
      <c r="D15" s="239">
        <v>555092</v>
      </c>
      <c r="E15" s="239">
        <v>61558</v>
      </c>
      <c r="F15" s="239">
        <v>15388</v>
      </c>
      <c r="G15" s="239">
        <v>13</v>
      </c>
      <c r="H15" s="313"/>
      <c r="I15" s="313"/>
      <c r="J15" s="313"/>
      <c r="K15" s="313"/>
    </row>
    <row r="16" spans="1:11" s="7" customFormat="1" ht="15" x14ac:dyDescent="0.2">
      <c r="A16" s="311">
        <v>2014</v>
      </c>
      <c r="B16" s="489">
        <v>3320102</v>
      </c>
      <c r="C16" s="489">
        <v>2873631</v>
      </c>
      <c r="D16" s="489">
        <v>446471</v>
      </c>
      <c r="E16" s="489">
        <v>36291</v>
      </c>
      <c r="F16" s="489">
        <v>11580</v>
      </c>
      <c r="G16" s="489">
        <v>8</v>
      </c>
      <c r="H16" s="313"/>
      <c r="I16" s="313"/>
      <c r="J16" s="313"/>
      <c r="K16" s="313"/>
    </row>
    <row r="17" spans="1:11" ht="15" x14ac:dyDescent="0.25">
      <c r="A17" s="9">
        <v>2015</v>
      </c>
      <c r="B17" s="767" t="s">
        <v>374</v>
      </c>
      <c r="C17" s="795" t="s">
        <v>376</v>
      </c>
      <c r="D17" s="239">
        <v>700793</v>
      </c>
      <c r="E17" s="239">
        <v>36655</v>
      </c>
      <c r="F17" s="239">
        <v>10886</v>
      </c>
      <c r="G17" s="239">
        <v>4</v>
      </c>
      <c r="H17" s="313"/>
      <c r="I17" s="313"/>
      <c r="J17" s="313"/>
      <c r="K17" s="313"/>
    </row>
    <row r="18" spans="1:11" s="161" customFormat="1" ht="15" x14ac:dyDescent="0.25">
      <c r="A18" s="312">
        <v>2016</v>
      </c>
      <c r="B18" s="491" t="s">
        <v>375</v>
      </c>
      <c r="C18" s="490" t="s">
        <v>377</v>
      </c>
      <c r="D18" s="489">
        <v>659555</v>
      </c>
      <c r="E18" s="489">
        <v>37973</v>
      </c>
      <c r="F18" s="489">
        <v>9369</v>
      </c>
      <c r="G18" s="489">
        <v>11</v>
      </c>
      <c r="H18" s="313"/>
      <c r="I18" s="313"/>
      <c r="J18" s="313"/>
      <c r="K18" s="313"/>
    </row>
    <row r="19" spans="1:11" s="315" customFormat="1" ht="15" x14ac:dyDescent="0.25">
      <c r="A19" s="9">
        <v>2017</v>
      </c>
      <c r="B19" s="767">
        <v>1479021</v>
      </c>
      <c r="C19" s="767">
        <v>819485</v>
      </c>
      <c r="D19" s="767">
        <v>659555</v>
      </c>
      <c r="E19" s="767">
        <v>41885</v>
      </c>
      <c r="F19" s="767">
        <v>8836</v>
      </c>
      <c r="G19" s="812">
        <v>2</v>
      </c>
      <c r="H19" s="313"/>
      <c r="I19" s="313"/>
      <c r="J19" s="313"/>
      <c r="K19" s="313"/>
    </row>
    <row r="20" spans="1:11" ht="15" x14ac:dyDescent="0.25">
      <c r="A20" s="312">
        <v>2018</v>
      </c>
      <c r="B20" s="491">
        <v>1398142</v>
      </c>
      <c r="C20" s="491">
        <v>901626</v>
      </c>
      <c r="D20" s="491">
        <v>496515</v>
      </c>
      <c r="E20" s="491">
        <v>36379</v>
      </c>
      <c r="F20" s="491">
        <v>7324</v>
      </c>
      <c r="G20" s="490">
        <v>6</v>
      </c>
      <c r="H20" s="313"/>
      <c r="I20" s="313"/>
      <c r="J20" s="313"/>
      <c r="K20" s="313"/>
    </row>
    <row r="21" spans="1:11" ht="15" x14ac:dyDescent="0.25">
      <c r="A21" s="9">
        <v>2019</v>
      </c>
      <c r="B21" s="767">
        <v>1138225</v>
      </c>
      <c r="C21" s="767">
        <v>532029</v>
      </c>
      <c r="D21" s="767">
        <v>606196</v>
      </c>
      <c r="E21" s="767">
        <v>35966</v>
      </c>
      <c r="F21" s="767">
        <v>12038.66</v>
      </c>
      <c r="G21" s="812">
        <v>10.84</v>
      </c>
    </row>
    <row r="23" spans="1:11" x14ac:dyDescent="0.2">
      <c r="C23" s="7"/>
      <c r="D23" s="7"/>
      <c r="E23" s="7"/>
      <c r="F23" s="7"/>
      <c r="G23" s="7"/>
    </row>
    <row r="24" spans="1:11" x14ac:dyDescent="0.2">
      <c r="B24" s="6"/>
      <c r="C24" s="6"/>
      <c r="D24" s="6"/>
      <c r="E24" s="6"/>
      <c r="F24" s="6"/>
      <c r="G24" s="6"/>
    </row>
    <row r="25" spans="1:11" x14ac:dyDescent="0.2">
      <c r="D25" s="6"/>
      <c r="E25" s="6" t="s">
        <v>510</v>
      </c>
    </row>
    <row r="36" spans="3:7" x14ac:dyDescent="0.2">
      <c r="C36" t="s">
        <v>430</v>
      </c>
      <c r="D36" t="s">
        <v>431</v>
      </c>
      <c r="E36" t="s">
        <v>432</v>
      </c>
      <c r="F36" t="s">
        <v>434</v>
      </c>
      <c r="G36" t="s">
        <v>433</v>
      </c>
    </row>
    <row r="37" spans="3:7" x14ac:dyDescent="0.2">
      <c r="C37">
        <v>2008</v>
      </c>
      <c r="D37" s="472">
        <v>544337</v>
      </c>
      <c r="E37" s="472">
        <v>422081</v>
      </c>
      <c r="F37">
        <v>132192</v>
      </c>
      <c r="G37">
        <v>14285</v>
      </c>
    </row>
    <row r="38" spans="3:7" x14ac:dyDescent="0.2">
      <c r="C38">
        <v>2009</v>
      </c>
      <c r="D38" s="472">
        <v>1392693</v>
      </c>
      <c r="E38" s="472">
        <v>1059909</v>
      </c>
      <c r="F38">
        <v>332783</v>
      </c>
      <c r="G38">
        <v>38227</v>
      </c>
    </row>
    <row r="39" spans="3:7" x14ac:dyDescent="0.2">
      <c r="C39">
        <v>2010</v>
      </c>
      <c r="D39" s="472">
        <v>1968163</v>
      </c>
      <c r="E39" s="472">
        <v>1486827</v>
      </c>
      <c r="F39">
        <v>481335</v>
      </c>
      <c r="G39">
        <v>36346</v>
      </c>
    </row>
    <row r="40" spans="3:7" x14ac:dyDescent="0.2">
      <c r="C40">
        <v>2011</v>
      </c>
      <c r="D40" s="472">
        <v>2150495</v>
      </c>
      <c r="E40" s="472">
        <v>1583820</v>
      </c>
      <c r="F40">
        <v>566675</v>
      </c>
      <c r="G40">
        <v>48214</v>
      </c>
    </row>
    <row r="41" spans="3:7" x14ac:dyDescent="0.2">
      <c r="C41">
        <v>2012</v>
      </c>
      <c r="D41" s="472">
        <v>4421670</v>
      </c>
      <c r="E41" s="472">
        <v>3622019</v>
      </c>
      <c r="F41">
        <v>661140</v>
      </c>
      <c r="G41">
        <v>66391</v>
      </c>
    </row>
    <row r="42" spans="3:7" x14ac:dyDescent="0.2">
      <c r="C42">
        <v>2013</v>
      </c>
      <c r="D42" s="472" t="s">
        <v>353</v>
      </c>
      <c r="E42" s="472" t="s">
        <v>354</v>
      </c>
      <c r="F42">
        <v>555092</v>
      </c>
      <c r="G42">
        <v>61558</v>
      </c>
    </row>
    <row r="43" spans="3:7" x14ac:dyDescent="0.2">
      <c r="C43">
        <v>2014</v>
      </c>
      <c r="D43" s="472">
        <v>3320102</v>
      </c>
      <c r="E43" s="472">
        <v>2873631</v>
      </c>
      <c r="F43">
        <v>446471</v>
      </c>
      <c r="G43">
        <v>36291</v>
      </c>
    </row>
    <row r="44" spans="3:7" x14ac:dyDescent="0.2">
      <c r="C44">
        <v>2015</v>
      </c>
      <c r="D44" s="472" t="s">
        <v>374</v>
      </c>
      <c r="E44" s="472" t="s">
        <v>376</v>
      </c>
      <c r="F44">
        <v>700793</v>
      </c>
      <c r="G44">
        <v>36655</v>
      </c>
    </row>
    <row r="45" spans="3:7" x14ac:dyDescent="0.2">
      <c r="C45">
        <v>2016</v>
      </c>
      <c r="D45" s="472" t="s">
        <v>375</v>
      </c>
      <c r="E45" s="472" t="s">
        <v>377</v>
      </c>
      <c r="F45">
        <v>659555</v>
      </c>
      <c r="G45">
        <v>37973</v>
      </c>
    </row>
    <row r="46" spans="3:7" x14ac:dyDescent="0.2">
      <c r="C46">
        <v>2017</v>
      </c>
      <c r="D46" s="472">
        <v>1479021</v>
      </c>
      <c r="E46" s="472">
        <v>819485</v>
      </c>
      <c r="F46">
        <v>659555</v>
      </c>
      <c r="G46">
        <v>41885</v>
      </c>
    </row>
    <row r="47" spans="3:7" x14ac:dyDescent="0.2">
      <c r="C47">
        <v>2018</v>
      </c>
      <c r="D47" s="472">
        <v>1398142</v>
      </c>
      <c r="E47" s="472">
        <v>901626</v>
      </c>
      <c r="F47">
        <v>496515</v>
      </c>
      <c r="G47">
        <v>36379</v>
      </c>
    </row>
    <row r="48" spans="3:7" x14ac:dyDescent="0.2">
      <c r="C48">
        <v>2019</v>
      </c>
      <c r="D48">
        <v>1138225</v>
      </c>
      <c r="E48">
        <v>532029</v>
      </c>
      <c r="F48">
        <v>606196</v>
      </c>
      <c r="G48">
        <v>35966</v>
      </c>
    </row>
    <row r="58" s="844" customFormat="1" x14ac:dyDescent="0.2"/>
  </sheetData>
  <mergeCells count="9">
    <mergeCell ref="A58:XFD58"/>
    <mergeCell ref="A3:G3"/>
    <mergeCell ref="A4:G4"/>
    <mergeCell ref="B6:B7"/>
    <mergeCell ref="C6:C7"/>
    <mergeCell ref="D6:D7"/>
    <mergeCell ref="E6:E7"/>
    <mergeCell ref="F6:F7"/>
    <mergeCell ref="G6:G7"/>
  </mergeCells>
  <phoneticPr fontId="3" type="noConversion"/>
  <printOptions horizontalCentered="1" verticalCentered="1"/>
  <pageMargins left="0.25" right="1.08" top="1.36" bottom="1.81" header="0.2" footer="0.78"/>
  <pageSetup paperSize="9" scale="95" orientation="landscape" horizontalDpi="4294967293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rightToLeft="1" workbookViewId="0">
      <selection activeCell="I31" sqref="I31"/>
    </sheetView>
  </sheetViews>
  <sheetFormatPr defaultRowHeight="12.75" x14ac:dyDescent="0.2"/>
  <cols>
    <col min="1" max="1" width="14.42578125" customWidth="1"/>
    <col min="2" max="2" width="21.7109375" customWidth="1"/>
    <col min="3" max="3" width="15.85546875" customWidth="1"/>
    <col min="4" max="4" width="16.7109375" customWidth="1"/>
    <col min="5" max="5" width="20.140625" customWidth="1"/>
    <col min="6" max="6" width="16.5703125" customWidth="1"/>
  </cols>
  <sheetData>
    <row r="2" spans="1:6" ht="15" x14ac:dyDescent="0.2">
      <c r="A2" s="850" t="s">
        <v>453</v>
      </c>
      <c r="B2" s="850"/>
      <c r="C2" s="850"/>
      <c r="D2" s="850"/>
      <c r="E2" s="850"/>
      <c r="F2" s="850"/>
    </row>
    <row r="3" spans="1:6" x14ac:dyDescent="0.2">
      <c r="A3" s="871" t="s">
        <v>454</v>
      </c>
      <c r="B3" s="871"/>
      <c r="C3" s="871"/>
      <c r="D3" s="871"/>
      <c r="E3" s="871"/>
      <c r="F3" s="871"/>
    </row>
    <row r="4" spans="1:6" x14ac:dyDescent="0.2">
      <c r="A4" s="871"/>
      <c r="B4" s="871"/>
      <c r="C4" s="871"/>
      <c r="D4" s="871"/>
      <c r="E4" s="871"/>
      <c r="F4" s="871"/>
    </row>
    <row r="5" spans="1:6" ht="15" x14ac:dyDescent="0.25">
      <c r="A5" s="333"/>
      <c r="B5" s="333"/>
      <c r="C5" s="338"/>
      <c r="D5" s="333"/>
      <c r="E5" s="873" t="s">
        <v>215</v>
      </c>
      <c r="F5" s="873"/>
    </row>
    <row r="6" spans="1:6" ht="15.75" thickBot="1" x14ac:dyDescent="0.25">
      <c r="A6" s="872" t="s">
        <v>407</v>
      </c>
      <c r="B6" s="872"/>
      <c r="C6" s="51"/>
      <c r="D6" s="866" t="s">
        <v>398</v>
      </c>
      <c r="E6" s="866"/>
      <c r="F6" s="51" t="s">
        <v>408</v>
      </c>
    </row>
    <row r="7" spans="1:6" ht="15" x14ac:dyDescent="0.25">
      <c r="A7" s="39"/>
      <c r="B7" s="336" t="s">
        <v>118</v>
      </c>
      <c r="C7" s="332" t="s">
        <v>383</v>
      </c>
      <c r="D7" s="336" t="s">
        <v>81</v>
      </c>
      <c r="E7" s="336" t="s">
        <v>129</v>
      </c>
      <c r="F7" s="39"/>
    </row>
    <row r="8" spans="1:6" ht="15" x14ac:dyDescent="0.25">
      <c r="A8" s="19"/>
      <c r="B8" s="335" t="s">
        <v>305</v>
      </c>
      <c r="C8" s="337"/>
      <c r="D8" s="335" t="s">
        <v>142</v>
      </c>
      <c r="E8" s="335" t="s">
        <v>139</v>
      </c>
      <c r="F8" s="19"/>
    </row>
    <row r="9" spans="1:6" ht="15.75" thickBot="1" x14ac:dyDescent="0.25">
      <c r="A9" s="334" t="s">
        <v>54</v>
      </c>
      <c r="B9" s="334" t="s">
        <v>133</v>
      </c>
      <c r="C9" s="62"/>
      <c r="D9" s="334" t="s">
        <v>132</v>
      </c>
      <c r="E9" s="334"/>
      <c r="F9" s="62" t="s">
        <v>26</v>
      </c>
    </row>
    <row r="10" spans="1:6" s="313" customFormat="1" ht="15.75" thickTop="1" x14ac:dyDescent="0.2">
      <c r="A10" s="478" t="s">
        <v>380</v>
      </c>
      <c r="B10" s="483">
        <v>0</v>
      </c>
      <c r="C10" s="483">
        <v>0</v>
      </c>
      <c r="D10" s="483">
        <v>0</v>
      </c>
      <c r="E10" s="479">
        <v>0</v>
      </c>
      <c r="F10" s="487" t="s">
        <v>381</v>
      </c>
    </row>
    <row r="11" spans="1:6" s="313" customFormat="1" ht="15" x14ac:dyDescent="0.25">
      <c r="A11" s="478" t="s">
        <v>5</v>
      </c>
      <c r="B11" s="507">
        <v>0</v>
      </c>
      <c r="C11" s="507">
        <v>0</v>
      </c>
      <c r="D11" s="507">
        <v>0</v>
      </c>
      <c r="E11" s="516">
        <v>0</v>
      </c>
      <c r="F11" s="483" t="s">
        <v>23</v>
      </c>
    </row>
    <row r="12" spans="1:6" s="313" customFormat="1" ht="16.5" thickBot="1" x14ac:dyDescent="0.25">
      <c r="A12" s="495" t="s">
        <v>0</v>
      </c>
      <c r="B12" s="517">
        <f>SUM(B10:B11)</f>
        <v>0</v>
      </c>
      <c r="C12" s="517">
        <f>SUM(C10:C11)</f>
        <v>0</v>
      </c>
      <c r="D12" s="518">
        <f>SUM(D10:D11)</f>
        <v>0</v>
      </c>
      <c r="E12" s="518">
        <v>0</v>
      </c>
      <c r="F12" s="519" t="s">
        <v>1</v>
      </c>
    </row>
    <row r="13" spans="1:6" ht="13.5" thickTop="1" x14ac:dyDescent="0.2">
      <c r="A13" s="14" t="s">
        <v>457</v>
      </c>
      <c r="B13" s="14"/>
      <c r="C13" s="14"/>
      <c r="D13" s="14"/>
      <c r="E13" s="184"/>
    </row>
  </sheetData>
  <mergeCells count="5">
    <mergeCell ref="A2:F2"/>
    <mergeCell ref="A3:F4"/>
    <mergeCell ref="E5:F5"/>
    <mergeCell ref="A6:B6"/>
    <mergeCell ref="D6:E6"/>
  </mergeCells>
  <pageMargins left="0.26" right="0.7" top="3.35" bottom="1.68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K24"/>
  <sheetViews>
    <sheetView rightToLeft="1" zoomScaleSheetLayoutView="100" workbookViewId="0">
      <selection activeCell="N16" sqref="N16"/>
    </sheetView>
  </sheetViews>
  <sheetFormatPr defaultRowHeight="12.75" x14ac:dyDescent="0.2"/>
  <cols>
    <col min="1" max="1" width="11.140625" customWidth="1"/>
    <col min="2" max="2" width="7.5703125" customWidth="1"/>
    <col min="3" max="4" width="8.85546875" style="7" customWidth="1"/>
    <col min="5" max="6" width="12.85546875" style="7" customWidth="1"/>
    <col min="7" max="7" width="13.28515625" customWidth="1"/>
    <col min="8" max="8" width="16.42578125" customWidth="1"/>
    <col min="9" max="9" width="15.140625" customWidth="1"/>
    <col min="10" max="10" width="15.7109375" customWidth="1"/>
    <col min="11" max="11" width="2.85546875" customWidth="1"/>
  </cols>
  <sheetData>
    <row r="1" spans="1:11" ht="30.75" customHeight="1" x14ac:dyDescent="0.2">
      <c r="A1" s="850" t="s">
        <v>455</v>
      </c>
      <c r="B1" s="850"/>
      <c r="C1" s="850"/>
      <c r="D1" s="850"/>
      <c r="E1" s="850"/>
      <c r="F1" s="850"/>
      <c r="G1" s="850"/>
      <c r="H1" s="850"/>
      <c r="I1" s="850"/>
      <c r="J1" s="16"/>
    </row>
    <row r="2" spans="1:11" ht="15" customHeight="1" x14ac:dyDescent="0.2">
      <c r="A2" s="858" t="s">
        <v>456</v>
      </c>
      <c r="B2" s="858"/>
      <c r="C2" s="858"/>
      <c r="D2" s="858"/>
      <c r="E2" s="858"/>
      <c r="F2" s="858"/>
      <c r="G2" s="858"/>
      <c r="H2" s="858"/>
      <c r="I2" s="858"/>
      <c r="J2" s="858"/>
    </row>
    <row r="3" spans="1:11" ht="15" customHeight="1" x14ac:dyDescent="0.2">
      <c r="A3" s="858"/>
      <c r="B3" s="858"/>
      <c r="C3" s="858"/>
      <c r="D3" s="858"/>
      <c r="E3" s="858"/>
      <c r="F3" s="858"/>
      <c r="G3" s="858"/>
      <c r="H3" s="858"/>
      <c r="I3" s="858"/>
      <c r="J3" s="858"/>
    </row>
    <row r="4" spans="1:11" s="7" customFormat="1" ht="15" customHeight="1" x14ac:dyDescent="0.25">
      <c r="A4" s="220"/>
      <c r="B4" s="220"/>
      <c r="C4" s="319"/>
      <c r="D4" s="319"/>
      <c r="E4" s="319"/>
      <c r="F4" s="319"/>
      <c r="G4" s="220"/>
      <c r="H4" s="220"/>
      <c r="I4" s="220"/>
      <c r="J4" s="846" t="s">
        <v>215</v>
      </c>
      <c r="K4" s="846"/>
    </row>
    <row r="5" spans="1:11" ht="18.75" customHeight="1" thickBot="1" x14ac:dyDescent="0.3">
      <c r="A5" s="63" t="s">
        <v>409</v>
      </c>
      <c r="B5" s="25" t="s">
        <v>150</v>
      </c>
      <c r="C5" s="25"/>
      <c r="D5" s="25"/>
      <c r="E5" s="25"/>
      <c r="F5" s="25"/>
      <c r="G5" s="67"/>
      <c r="H5" s="875" t="s">
        <v>154</v>
      </c>
      <c r="I5" s="875"/>
      <c r="J5" s="66" t="s">
        <v>121</v>
      </c>
    </row>
    <row r="6" spans="1:11" ht="33.75" customHeight="1" x14ac:dyDescent="0.25">
      <c r="A6" s="43"/>
      <c r="B6" s="317" t="s">
        <v>107</v>
      </c>
      <c r="C6" s="317" t="s">
        <v>384</v>
      </c>
      <c r="D6" s="317" t="s">
        <v>385</v>
      </c>
      <c r="E6" s="317" t="s">
        <v>386</v>
      </c>
      <c r="F6" s="316" t="s">
        <v>390</v>
      </c>
      <c r="G6" s="35" t="s">
        <v>119</v>
      </c>
      <c r="H6" s="35" t="s">
        <v>120</v>
      </c>
      <c r="I6" s="279" t="s">
        <v>125</v>
      </c>
      <c r="J6" s="70"/>
    </row>
    <row r="7" spans="1:11" ht="30.75" customHeight="1" x14ac:dyDescent="0.25">
      <c r="A7" s="19"/>
      <c r="B7" s="47" t="s">
        <v>146</v>
      </c>
      <c r="C7" s="325" t="s">
        <v>387</v>
      </c>
      <c r="D7" s="325" t="s">
        <v>388</v>
      </c>
      <c r="E7" s="325" t="s">
        <v>389</v>
      </c>
      <c r="F7" s="342" t="s">
        <v>392</v>
      </c>
      <c r="G7" s="47" t="s">
        <v>143</v>
      </c>
      <c r="H7" s="47" t="s">
        <v>142</v>
      </c>
      <c r="I7" s="47" t="s">
        <v>147</v>
      </c>
      <c r="J7" s="19"/>
    </row>
    <row r="8" spans="1:11" ht="17.25" customHeight="1" thickBot="1" x14ac:dyDescent="0.25">
      <c r="A8" s="58" t="s">
        <v>80</v>
      </c>
      <c r="B8" s="58" t="s">
        <v>133</v>
      </c>
      <c r="C8" s="323"/>
      <c r="D8" s="323"/>
      <c r="E8" s="323"/>
      <c r="F8" s="330" t="s">
        <v>391</v>
      </c>
      <c r="G8" s="58" t="s">
        <v>132</v>
      </c>
      <c r="H8" s="58" t="s">
        <v>132</v>
      </c>
      <c r="I8" s="58"/>
      <c r="J8" s="62" t="s">
        <v>26</v>
      </c>
    </row>
    <row r="9" spans="1:11" s="313" customFormat="1" ht="17.25" customHeight="1" thickTop="1" x14ac:dyDescent="0.25">
      <c r="A9" s="261" t="s">
        <v>380</v>
      </c>
      <c r="B9" s="483">
        <v>1</v>
      </c>
      <c r="C9" s="483">
        <v>0</v>
      </c>
      <c r="D9" s="483">
        <v>0</v>
      </c>
      <c r="E9" s="483">
        <v>0</v>
      </c>
      <c r="F9" s="483">
        <v>0</v>
      </c>
      <c r="G9" s="483">
        <v>1159</v>
      </c>
      <c r="H9" s="483">
        <v>1998</v>
      </c>
      <c r="I9" s="507">
        <v>211787</v>
      </c>
      <c r="J9" s="507" t="s">
        <v>381</v>
      </c>
    </row>
    <row r="10" spans="1:11" s="313" customFormat="1" ht="15.75" customHeight="1" x14ac:dyDescent="0.25">
      <c r="A10" s="633" t="s">
        <v>3</v>
      </c>
      <c r="B10" s="181">
        <v>2</v>
      </c>
      <c r="C10" s="181">
        <v>1</v>
      </c>
      <c r="D10" s="181">
        <v>1</v>
      </c>
      <c r="E10" s="181">
        <v>0</v>
      </c>
      <c r="F10" s="181">
        <v>1</v>
      </c>
      <c r="G10" s="85">
        <v>1842</v>
      </c>
      <c r="H10" s="85">
        <v>2253</v>
      </c>
      <c r="I10" s="82">
        <v>299502</v>
      </c>
      <c r="J10" s="181" t="s">
        <v>15</v>
      </c>
    </row>
    <row r="11" spans="1:11" s="313" customFormat="1" ht="14.1" customHeight="1" x14ac:dyDescent="0.25">
      <c r="A11" s="261" t="s">
        <v>365</v>
      </c>
      <c r="B11" s="507">
        <v>0</v>
      </c>
      <c r="C11" s="507">
        <v>0</v>
      </c>
      <c r="D11" s="507">
        <v>0</v>
      </c>
      <c r="E11" s="507">
        <v>0</v>
      </c>
      <c r="F11" s="507">
        <v>0</v>
      </c>
      <c r="G11" s="479">
        <v>187</v>
      </c>
      <c r="H11" s="479">
        <v>96</v>
      </c>
      <c r="I11" s="480">
        <v>742784</v>
      </c>
      <c r="J11" s="507" t="s">
        <v>359</v>
      </c>
    </row>
    <row r="12" spans="1:11" s="313" customFormat="1" ht="17.25" customHeight="1" x14ac:dyDescent="0.25">
      <c r="A12" s="633" t="s">
        <v>4</v>
      </c>
      <c r="B12" s="181">
        <v>0</v>
      </c>
      <c r="C12" s="181">
        <v>2</v>
      </c>
      <c r="D12" s="181">
        <v>0</v>
      </c>
      <c r="E12" s="181">
        <v>1</v>
      </c>
      <c r="F12" s="181">
        <v>0</v>
      </c>
      <c r="G12" s="85">
        <v>4229</v>
      </c>
      <c r="H12" s="85">
        <v>2545</v>
      </c>
      <c r="I12" s="82">
        <v>1691374</v>
      </c>
      <c r="J12" s="181" t="s">
        <v>16</v>
      </c>
    </row>
    <row r="13" spans="1:11" s="313" customFormat="1" ht="14.1" customHeight="1" x14ac:dyDescent="0.25">
      <c r="A13" s="261" t="s">
        <v>5</v>
      </c>
      <c r="B13" s="507">
        <v>0</v>
      </c>
      <c r="C13" s="507">
        <v>0</v>
      </c>
      <c r="D13" s="507">
        <v>0</v>
      </c>
      <c r="E13" s="507">
        <v>0</v>
      </c>
      <c r="F13" s="507">
        <v>0</v>
      </c>
      <c r="G13" s="479">
        <v>58</v>
      </c>
      <c r="H13" s="479">
        <v>0</v>
      </c>
      <c r="I13" s="480">
        <v>17325</v>
      </c>
      <c r="J13" s="507" t="s">
        <v>23</v>
      </c>
    </row>
    <row r="14" spans="1:11" s="313" customFormat="1" ht="14.1" customHeight="1" x14ac:dyDescent="0.25">
      <c r="A14" s="633" t="s">
        <v>11</v>
      </c>
      <c r="B14" s="181">
        <v>0</v>
      </c>
      <c r="C14" s="181">
        <v>0</v>
      </c>
      <c r="D14" s="181">
        <v>0</v>
      </c>
      <c r="E14" s="181">
        <v>0</v>
      </c>
      <c r="F14" s="181">
        <v>0</v>
      </c>
      <c r="G14" s="85">
        <v>49</v>
      </c>
      <c r="H14" s="85">
        <v>102</v>
      </c>
      <c r="I14" s="82">
        <v>12210</v>
      </c>
      <c r="J14" s="181" t="s">
        <v>21</v>
      </c>
    </row>
    <row r="15" spans="1:11" s="313" customFormat="1" ht="14.1" customHeight="1" x14ac:dyDescent="0.25">
      <c r="A15" s="261" t="s">
        <v>7</v>
      </c>
      <c r="B15" s="507">
        <v>2</v>
      </c>
      <c r="C15" s="507">
        <v>1</v>
      </c>
      <c r="D15" s="507">
        <v>0</v>
      </c>
      <c r="E15" s="507">
        <v>0</v>
      </c>
      <c r="F15" s="507">
        <v>0</v>
      </c>
      <c r="G15" s="479">
        <v>441</v>
      </c>
      <c r="H15" s="479">
        <v>677</v>
      </c>
      <c r="I15" s="480">
        <v>167265</v>
      </c>
      <c r="J15" s="507" t="s">
        <v>497</v>
      </c>
    </row>
    <row r="16" spans="1:11" s="313" customFormat="1" ht="14.1" customHeight="1" x14ac:dyDescent="0.25">
      <c r="A16" s="633" t="s">
        <v>9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85">
        <v>88</v>
      </c>
      <c r="H16" s="85">
        <v>96</v>
      </c>
      <c r="I16" s="82">
        <v>39528</v>
      </c>
      <c r="J16" s="181" t="s">
        <v>19</v>
      </c>
    </row>
    <row r="17" spans="1:10" s="313" customFormat="1" ht="14.1" customHeight="1" x14ac:dyDescent="0.25">
      <c r="A17" s="261" t="s">
        <v>10</v>
      </c>
      <c r="B17" s="507">
        <v>2</v>
      </c>
      <c r="C17" s="507">
        <v>0</v>
      </c>
      <c r="D17" s="507">
        <v>0</v>
      </c>
      <c r="E17" s="507">
        <v>0</v>
      </c>
      <c r="F17" s="507">
        <v>1</v>
      </c>
      <c r="G17" s="479">
        <v>1334</v>
      </c>
      <c r="H17" s="479">
        <v>1383</v>
      </c>
      <c r="I17" s="480">
        <v>333555</v>
      </c>
      <c r="J17" s="507" t="s">
        <v>20</v>
      </c>
    </row>
    <row r="18" spans="1:10" s="313" customFormat="1" ht="14.1" customHeight="1" x14ac:dyDescent="0.25">
      <c r="A18" s="633" t="s">
        <v>12</v>
      </c>
      <c r="B18" s="181">
        <v>0</v>
      </c>
      <c r="C18" s="181">
        <v>0</v>
      </c>
      <c r="D18" s="181">
        <v>0</v>
      </c>
      <c r="E18" s="181">
        <v>0</v>
      </c>
      <c r="F18" s="181">
        <v>0</v>
      </c>
      <c r="G18" s="85">
        <v>4</v>
      </c>
      <c r="H18" s="85">
        <v>145</v>
      </c>
      <c r="I18" s="82">
        <v>1254</v>
      </c>
      <c r="J18" s="181" t="s">
        <v>25</v>
      </c>
    </row>
    <row r="19" spans="1:10" s="313" customFormat="1" ht="14.1" customHeight="1" thickBot="1" x14ac:dyDescent="0.3">
      <c r="A19" s="261" t="s">
        <v>13</v>
      </c>
      <c r="B19" s="507">
        <v>1</v>
      </c>
      <c r="C19" s="507">
        <v>0</v>
      </c>
      <c r="D19" s="507">
        <v>0</v>
      </c>
      <c r="E19" s="507">
        <v>0</v>
      </c>
      <c r="F19" s="507">
        <v>1</v>
      </c>
      <c r="G19" s="479">
        <v>378</v>
      </c>
      <c r="H19" s="479">
        <v>284</v>
      </c>
      <c r="I19" s="480">
        <v>151016</v>
      </c>
      <c r="J19" s="507" t="s">
        <v>22</v>
      </c>
    </row>
    <row r="20" spans="1:10" s="161" customFormat="1" ht="18" customHeight="1" thickBot="1" x14ac:dyDescent="0.25">
      <c r="A20" s="202" t="s">
        <v>0</v>
      </c>
      <c r="B20" s="471">
        <f t="shared" ref="B20:I20" si="0">SUM(B9:B19)</f>
        <v>8</v>
      </c>
      <c r="C20" s="471">
        <f t="shared" si="0"/>
        <v>4</v>
      </c>
      <c r="D20" s="471">
        <f t="shared" si="0"/>
        <v>1</v>
      </c>
      <c r="E20" s="471">
        <f t="shared" si="0"/>
        <v>1</v>
      </c>
      <c r="F20" s="471">
        <f t="shared" si="0"/>
        <v>3</v>
      </c>
      <c r="G20" s="471">
        <f t="shared" si="0"/>
        <v>9769</v>
      </c>
      <c r="H20" s="471">
        <f t="shared" si="0"/>
        <v>9579</v>
      </c>
      <c r="I20" s="471">
        <f t="shared" si="0"/>
        <v>3667600</v>
      </c>
      <c r="J20" s="203" t="s">
        <v>1</v>
      </c>
    </row>
    <row r="21" spans="1:10" ht="13.5" thickTop="1" x14ac:dyDescent="0.2">
      <c r="A21" s="874" t="s">
        <v>505</v>
      </c>
      <c r="B21" s="874"/>
      <c r="C21" s="874"/>
      <c r="D21" s="874"/>
      <c r="E21" s="874"/>
      <c r="F21" s="874"/>
      <c r="G21" s="874"/>
      <c r="H21" s="874"/>
      <c r="I21" s="874"/>
    </row>
    <row r="22" spans="1:10" s="7" customFormat="1" x14ac:dyDescent="0.2">
      <c r="A22" s="874"/>
      <c r="B22" s="874"/>
      <c r="C22" s="874"/>
      <c r="D22" s="874"/>
      <c r="E22" s="874"/>
      <c r="F22" s="874"/>
      <c r="G22" s="874"/>
      <c r="H22" s="874"/>
      <c r="I22" s="874"/>
    </row>
    <row r="23" spans="1:10" s="7" customFormat="1" x14ac:dyDescent="0.2">
      <c r="A23" s="874"/>
      <c r="B23" s="874"/>
      <c r="C23" s="874"/>
      <c r="D23" s="874"/>
      <c r="E23" s="874"/>
      <c r="F23" s="874"/>
      <c r="G23" s="874"/>
      <c r="H23" s="874"/>
    </row>
    <row r="24" spans="1:10" ht="15" x14ac:dyDescent="0.25">
      <c r="J24" s="59"/>
    </row>
  </sheetData>
  <mergeCells count="7">
    <mergeCell ref="A23:H23"/>
    <mergeCell ref="J4:K4"/>
    <mergeCell ref="A1:I1"/>
    <mergeCell ref="H5:I5"/>
    <mergeCell ref="A2:J3"/>
    <mergeCell ref="A22:I22"/>
    <mergeCell ref="A21:I21"/>
  </mergeCells>
  <phoneticPr fontId="3" type="noConversion"/>
  <printOptions horizontalCentered="1" verticalCentered="1"/>
  <pageMargins left="0.25" right="0.4" top="7.874015748031496E-2" bottom="0.98425196850393704" header="0.91" footer="0.51181102362204722"/>
  <pageSetup scale="97" orientation="landscape" verticalDpi="300" r:id="rId1"/>
  <headerFooter alignWithMargins="0">
    <oddFooter>&amp;C19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12"/>
  <sheetViews>
    <sheetView rightToLeft="1" zoomScaleSheetLayoutView="100" workbookViewId="0">
      <selection activeCell="N34" sqref="N34"/>
    </sheetView>
  </sheetViews>
  <sheetFormatPr defaultRowHeight="12.75" x14ac:dyDescent="0.2"/>
  <cols>
    <col min="1" max="1" width="11.140625" customWidth="1"/>
    <col min="2" max="2" width="20.85546875" style="7" customWidth="1"/>
    <col min="3" max="3" width="18.85546875" customWidth="1"/>
    <col min="4" max="4" width="15.140625" customWidth="1"/>
    <col min="5" max="5" width="15.28515625" customWidth="1"/>
    <col min="6" max="6" width="0.5703125" hidden="1" customWidth="1"/>
    <col min="7" max="7" width="0.85546875" hidden="1" customWidth="1"/>
    <col min="8" max="8" width="4.7109375" hidden="1" customWidth="1"/>
    <col min="9" max="9" width="0" hidden="1" customWidth="1"/>
  </cols>
  <sheetData>
    <row r="1" spans="1:9" ht="15" x14ac:dyDescent="0.2">
      <c r="A1" s="850" t="s">
        <v>458</v>
      </c>
      <c r="B1" s="850"/>
      <c r="C1" s="850"/>
      <c r="D1" s="850"/>
      <c r="E1" s="850"/>
    </row>
    <row r="2" spans="1:9" ht="15" customHeight="1" x14ac:dyDescent="0.2">
      <c r="A2" s="858" t="s">
        <v>459</v>
      </c>
      <c r="B2" s="858"/>
      <c r="C2" s="858"/>
      <c r="D2" s="858"/>
      <c r="E2" s="858"/>
    </row>
    <row r="3" spans="1:9" ht="15" customHeight="1" x14ac:dyDescent="0.2">
      <c r="A3" s="858"/>
      <c r="B3" s="858"/>
      <c r="C3" s="858"/>
      <c r="D3" s="858"/>
      <c r="E3" s="858"/>
    </row>
    <row r="4" spans="1:9" s="7" customFormat="1" ht="15" customHeight="1" x14ac:dyDescent="0.2">
      <c r="A4" s="220"/>
      <c r="B4" s="319"/>
      <c r="C4" s="220"/>
      <c r="D4" s="220"/>
      <c r="E4" s="231" t="s">
        <v>215</v>
      </c>
    </row>
    <row r="5" spans="1:9" ht="15" customHeight="1" thickBot="1" x14ac:dyDescent="0.25">
      <c r="A5" s="68" t="s">
        <v>122</v>
      </c>
      <c r="B5" s="321" t="s">
        <v>499</v>
      </c>
      <c r="C5" s="876" t="s">
        <v>332</v>
      </c>
      <c r="D5" s="876"/>
      <c r="E5" s="66" t="s">
        <v>123</v>
      </c>
    </row>
    <row r="6" spans="1:9" ht="15" customHeight="1" x14ac:dyDescent="0.25">
      <c r="A6" s="43"/>
      <c r="B6" s="316" t="s">
        <v>393</v>
      </c>
      <c r="C6" s="35" t="s">
        <v>120</v>
      </c>
      <c r="D6" s="35" t="s">
        <v>125</v>
      </c>
      <c r="E6" s="43"/>
    </row>
    <row r="7" spans="1:9" ht="27.75" customHeight="1" x14ac:dyDescent="0.25">
      <c r="A7" s="71"/>
      <c r="B7" s="325" t="s">
        <v>392</v>
      </c>
      <c r="C7" s="47" t="s">
        <v>142</v>
      </c>
      <c r="D7" s="47" t="s">
        <v>139</v>
      </c>
      <c r="E7" s="71"/>
    </row>
    <row r="8" spans="1:9" ht="15" customHeight="1" thickBot="1" x14ac:dyDescent="0.25">
      <c r="A8" s="201" t="s">
        <v>50</v>
      </c>
      <c r="B8" s="330" t="s">
        <v>391</v>
      </c>
      <c r="C8" s="330" t="s">
        <v>132</v>
      </c>
      <c r="D8" s="58"/>
      <c r="E8" s="201" t="s">
        <v>26</v>
      </c>
      <c r="I8" s="7"/>
    </row>
    <row r="9" spans="1:9" s="313" customFormat="1" ht="16.5" customHeight="1" thickTop="1" thickBot="1" x14ac:dyDescent="0.3">
      <c r="A9" s="633" t="s">
        <v>3</v>
      </c>
      <c r="B9" s="331">
        <v>1</v>
      </c>
      <c r="C9" s="331">
        <v>22</v>
      </c>
      <c r="D9" s="82">
        <v>6633</v>
      </c>
      <c r="E9" s="10" t="s">
        <v>15</v>
      </c>
    </row>
    <row r="10" spans="1:9" s="313" customFormat="1" ht="18.75" customHeight="1" thickBot="1" x14ac:dyDescent="0.25">
      <c r="A10" s="513" t="s">
        <v>0</v>
      </c>
      <c r="B10" s="520">
        <v>1</v>
      </c>
      <c r="C10" s="520">
        <v>22</v>
      </c>
      <c r="D10" s="514">
        <v>6633</v>
      </c>
      <c r="E10" s="521" t="s">
        <v>1</v>
      </c>
    </row>
    <row r="11" spans="1:9" ht="13.5" thickTop="1" x14ac:dyDescent="0.2">
      <c r="A11" s="657" t="s">
        <v>460</v>
      </c>
      <c r="B11" s="657"/>
      <c r="C11" s="657"/>
      <c r="D11" s="657"/>
      <c r="E11" s="657"/>
      <c r="F11" s="470"/>
    </row>
    <row r="12" spans="1:9" x14ac:dyDescent="0.2">
      <c r="B12" s="8"/>
    </row>
  </sheetData>
  <mergeCells count="3">
    <mergeCell ref="A1:E1"/>
    <mergeCell ref="A2:E3"/>
    <mergeCell ref="C5:D5"/>
  </mergeCells>
  <phoneticPr fontId="3" type="noConversion"/>
  <printOptions horizontalCentered="1" verticalCentered="1"/>
  <pageMargins left="0.16" right="0.24" top="1.0374015750000001" bottom="0.98425196850393704" header="0.78740157480314998" footer="0.511811023622047"/>
  <pageSetup orientation="landscape" verticalDpi="300" r:id="rId1"/>
  <headerFooter alignWithMargins="0">
    <oddFooter>&amp;C20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H22"/>
  <sheetViews>
    <sheetView rightToLeft="1" topLeftCell="B1" zoomScaleSheetLayoutView="100" zoomScalePageLayoutView="90" workbookViewId="0">
      <selection activeCell="L12" sqref="L12"/>
    </sheetView>
  </sheetViews>
  <sheetFormatPr defaultRowHeight="12.75" x14ac:dyDescent="0.2"/>
  <cols>
    <col min="1" max="1" width="1" hidden="1" customWidth="1"/>
    <col min="2" max="2" width="14.28515625" customWidth="1"/>
    <col min="3" max="3" width="16.28515625" customWidth="1"/>
    <col min="4" max="4" width="13.7109375" style="7" customWidth="1"/>
    <col min="5" max="5" width="14" customWidth="1"/>
    <col min="6" max="7" width="16.28515625" customWidth="1"/>
    <col min="8" max="8" width="18.85546875" customWidth="1"/>
  </cols>
  <sheetData>
    <row r="1" spans="1:8" ht="15" customHeight="1" x14ac:dyDescent="0.2">
      <c r="A1" s="2"/>
      <c r="B1" s="879" t="s">
        <v>461</v>
      </c>
      <c r="C1" s="879"/>
      <c r="D1" s="879"/>
      <c r="E1" s="879"/>
      <c r="F1" s="879"/>
      <c r="G1" s="879"/>
      <c r="H1" s="262"/>
    </row>
    <row r="2" spans="1:8" ht="17.25" customHeight="1" x14ac:dyDescent="0.2">
      <c r="A2" s="2"/>
      <c r="B2" s="877" t="s">
        <v>462</v>
      </c>
      <c r="C2" s="877"/>
      <c r="D2" s="877"/>
      <c r="E2" s="877"/>
      <c r="F2" s="877"/>
      <c r="G2" s="877"/>
      <c r="H2" s="877"/>
    </row>
    <row r="3" spans="1:8" ht="11.25" customHeight="1" x14ac:dyDescent="0.2">
      <c r="A3" s="2"/>
      <c r="B3" s="877"/>
      <c r="C3" s="877"/>
      <c r="D3" s="877"/>
      <c r="E3" s="877"/>
      <c r="F3" s="877"/>
      <c r="G3" s="877"/>
      <c r="H3" s="877"/>
    </row>
    <row r="4" spans="1:8" s="7" customFormat="1" ht="11.25" customHeight="1" x14ac:dyDescent="0.2">
      <c r="A4" s="2"/>
      <c r="B4" s="249"/>
      <c r="C4" s="249"/>
      <c r="D4" s="322"/>
      <c r="E4" s="249"/>
      <c r="F4" s="249"/>
      <c r="G4" s="249"/>
      <c r="H4" s="880" t="s">
        <v>215</v>
      </c>
    </row>
    <row r="5" spans="1:8" s="7" customFormat="1" ht="11.25" customHeight="1" x14ac:dyDescent="0.2">
      <c r="A5" s="2"/>
      <c r="B5" s="249"/>
      <c r="C5" s="249"/>
      <c r="D5" s="322"/>
      <c r="E5" s="249"/>
      <c r="F5" s="249"/>
      <c r="G5" s="249"/>
      <c r="H5" s="880"/>
    </row>
    <row r="6" spans="1:8" ht="27" customHeight="1" thickBot="1" x14ac:dyDescent="0.25">
      <c r="A6" s="2"/>
      <c r="B6" s="250" t="s">
        <v>410</v>
      </c>
      <c r="C6" s="250" t="s">
        <v>150</v>
      </c>
      <c r="D6" s="250"/>
      <c r="E6" s="250"/>
      <c r="F6" s="878" t="s">
        <v>153</v>
      </c>
      <c r="G6" s="878"/>
      <c r="H6" s="250" t="s">
        <v>114</v>
      </c>
    </row>
    <row r="7" spans="1:8" ht="31.5" customHeight="1" x14ac:dyDescent="0.25">
      <c r="A7" s="2"/>
      <c r="B7" s="251"/>
      <c r="C7" s="251" t="s">
        <v>360</v>
      </c>
      <c r="D7" s="251" t="s">
        <v>394</v>
      </c>
      <c r="E7" s="668" t="s">
        <v>200</v>
      </c>
      <c r="F7" s="251" t="s">
        <v>81</v>
      </c>
      <c r="G7" s="251" t="s">
        <v>127</v>
      </c>
      <c r="H7" s="252"/>
    </row>
    <row r="8" spans="1:8" ht="24.75" customHeight="1" x14ac:dyDescent="0.25">
      <c r="A8" s="2"/>
      <c r="B8" s="253"/>
      <c r="C8" s="260" t="s">
        <v>395</v>
      </c>
      <c r="D8" s="254" t="s">
        <v>396</v>
      </c>
      <c r="E8" s="255" t="s">
        <v>143</v>
      </c>
      <c r="F8" s="255" t="s">
        <v>142</v>
      </c>
      <c r="G8" s="669" t="s">
        <v>139</v>
      </c>
      <c r="H8" s="256"/>
    </row>
    <row r="9" spans="1:8" ht="19.5" customHeight="1" thickBot="1" x14ac:dyDescent="0.3">
      <c r="A9" s="2"/>
      <c r="B9" s="257" t="s">
        <v>52</v>
      </c>
      <c r="C9" s="258" t="s">
        <v>133</v>
      </c>
      <c r="D9" s="258" t="s">
        <v>133</v>
      </c>
      <c r="E9" s="257" t="s">
        <v>132</v>
      </c>
      <c r="F9" s="257" t="s">
        <v>132</v>
      </c>
      <c r="G9" s="257"/>
      <c r="H9" s="259" t="s">
        <v>26</v>
      </c>
    </row>
    <row r="10" spans="1:8" s="313" customFormat="1" ht="19.5" customHeight="1" thickTop="1" x14ac:dyDescent="0.25">
      <c r="A10" s="522"/>
      <c r="B10" s="261" t="s">
        <v>380</v>
      </c>
      <c r="C10" s="523">
        <v>0</v>
      </c>
      <c r="D10" s="523">
        <v>5</v>
      </c>
      <c r="E10" s="524">
        <v>2862</v>
      </c>
      <c r="F10" s="524">
        <v>1779</v>
      </c>
      <c r="G10" s="525">
        <v>913108</v>
      </c>
      <c r="H10" s="525" t="s">
        <v>381</v>
      </c>
    </row>
    <row r="11" spans="1:8" s="313" customFormat="1" ht="19.5" customHeight="1" x14ac:dyDescent="0.25">
      <c r="A11" s="522"/>
      <c r="B11" s="633" t="s">
        <v>3</v>
      </c>
      <c r="C11" s="648">
        <v>0</v>
      </c>
      <c r="D11" s="648">
        <v>1</v>
      </c>
      <c r="E11" s="648">
        <v>379</v>
      </c>
      <c r="F11" s="648">
        <v>640</v>
      </c>
      <c r="G11" s="649">
        <v>122418</v>
      </c>
      <c r="H11" s="650" t="s">
        <v>15</v>
      </c>
    </row>
    <row r="12" spans="1:8" s="313" customFormat="1" ht="18" customHeight="1" x14ac:dyDescent="0.25">
      <c r="A12" s="522"/>
      <c r="B12" s="261" t="s">
        <v>365</v>
      </c>
      <c r="C12" s="526">
        <v>0</v>
      </c>
      <c r="D12" s="526">
        <v>1</v>
      </c>
      <c r="E12" s="526">
        <v>3655</v>
      </c>
      <c r="F12" s="526">
        <v>1395</v>
      </c>
      <c r="G12" s="527">
        <v>1310912</v>
      </c>
      <c r="H12" s="525" t="s">
        <v>359</v>
      </c>
    </row>
    <row r="13" spans="1:8" s="313" customFormat="1" ht="18" customHeight="1" x14ac:dyDescent="0.25">
      <c r="A13" s="522"/>
      <c r="B13" s="633" t="s">
        <v>4</v>
      </c>
      <c r="C13" s="648">
        <v>0</v>
      </c>
      <c r="D13" s="648">
        <v>0</v>
      </c>
      <c r="E13" s="648">
        <v>512</v>
      </c>
      <c r="F13" s="648">
        <v>2350</v>
      </c>
      <c r="G13" s="649">
        <v>181770</v>
      </c>
      <c r="H13" s="651" t="s">
        <v>16</v>
      </c>
    </row>
    <row r="14" spans="1:8" s="313" customFormat="1" ht="15" customHeight="1" x14ac:dyDescent="0.25">
      <c r="A14" s="522"/>
      <c r="B14" s="261" t="s">
        <v>5</v>
      </c>
      <c r="C14" s="526">
        <v>0</v>
      </c>
      <c r="D14" s="526">
        <v>0</v>
      </c>
      <c r="E14" s="526">
        <v>1635</v>
      </c>
      <c r="F14" s="526">
        <v>922</v>
      </c>
      <c r="G14" s="527">
        <v>411470</v>
      </c>
      <c r="H14" s="525" t="s">
        <v>23</v>
      </c>
    </row>
    <row r="15" spans="1:8" s="313" customFormat="1" ht="15" customHeight="1" x14ac:dyDescent="0.25">
      <c r="A15" s="522"/>
      <c r="B15" s="633" t="s">
        <v>11</v>
      </c>
      <c r="C15" s="648">
        <v>0</v>
      </c>
      <c r="D15" s="648">
        <v>0</v>
      </c>
      <c r="E15" s="648">
        <v>128</v>
      </c>
      <c r="F15" s="648">
        <v>185</v>
      </c>
      <c r="G15" s="649">
        <v>45565</v>
      </c>
      <c r="H15" s="650" t="s">
        <v>21</v>
      </c>
    </row>
    <row r="16" spans="1:8" s="313" customFormat="1" ht="17.25" customHeight="1" x14ac:dyDescent="0.25">
      <c r="A16" s="522"/>
      <c r="B16" s="261" t="s">
        <v>2</v>
      </c>
      <c r="C16" s="526">
        <v>0</v>
      </c>
      <c r="D16" s="526">
        <v>0</v>
      </c>
      <c r="E16" s="526">
        <v>1155</v>
      </c>
      <c r="F16" s="526">
        <v>605</v>
      </c>
      <c r="G16" s="527">
        <v>369396</v>
      </c>
      <c r="H16" s="645" t="s">
        <v>14</v>
      </c>
    </row>
    <row r="17" spans="1:8" s="313" customFormat="1" ht="15" customHeight="1" x14ac:dyDescent="0.25">
      <c r="A17" s="522"/>
      <c r="B17" s="633" t="s">
        <v>10</v>
      </c>
      <c r="C17" s="315">
        <v>0</v>
      </c>
      <c r="D17" s="648">
        <v>0</v>
      </c>
      <c r="E17" s="648">
        <v>2971</v>
      </c>
      <c r="F17" s="648">
        <v>520</v>
      </c>
      <c r="G17" s="649">
        <v>924075</v>
      </c>
      <c r="H17" s="650" t="s">
        <v>20</v>
      </c>
    </row>
    <row r="18" spans="1:8" s="313" customFormat="1" ht="18.75" customHeight="1" thickBot="1" x14ac:dyDescent="0.3">
      <c r="A18" s="522"/>
      <c r="B18" s="261" t="s">
        <v>13</v>
      </c>
      <c r="C18" s="526">
        <v>0</v>
      </c>
      <c r="D18" s="526">
        <v>0</v>
      </c>
      <c r="E18" s="526">
        <v>6340</v>
      </c>
      <c r="F18" s="526">
        <v>6045</v>
      </c>
      <c r="G18" s="527">
        <v>2366032</v>
      </c>
      <c r="H18" s="645" t="s">
        <v>22</v>
      </c>
    </row>
    <row r="19" spans="1:8" s="313" customFormat="1" ht="19.5" customHeight="1" thickBot="1" x14ac:dyDescent="0.25">
      <c r="A19" s="522"/>
      <c r="B19" s="513" t="s">
        <v>0</v>
      </c>
      <c r="C19" s="528">
        <f>SUM(C10:C18)</f>
        <v>0</v>
      </c>
      <c r="D19" s="528">
        <f>SUM(D10:D18)</f>
        <v>7</v>
      </c>
      <c r="E19" s="528">
        <f>SUM(E10:E18)</f>
        <v>19637</v>
      </c>
      <c r="F19" s="528">
        <f>SUM(F10:F18)</f>
        <v>14441</v>
      </c>
      <c r="G19" s="528">
        <f>SUM(G10:G18)</f>
        <v>6644746</v>
      </c>
      <c r="H19" s="515" t="s">
        <v>1</v>
      </c>
    </row>
    <row r="20" spans="1:8" ht="16.5" thickTop="1" x14ac:dyDescent="0.25">
      <c r="B20" s="14" t="s">
        <v>498</v>
      </c>
      <c r="C20" s="14"/>
      <c r="D20" s="14"/>
      <c r="E20" s="261"/>
      <c r="F20" s="261"/>
      <c r="G20" s="256"/>
      <c r="H20" s="256"/>
    </row>
    <row r="21" spans="1:8" ht="15.75" x14ac:dyDescent="0.25">
      <c r="B21" s="881"/>
      <c r="C21" s="881"/>
      <c r="D21" s="881"/>
      <c r="E21" s="881"/>
      <c r="F21" s="881"/>
      <c r="G21" s="256"/>
      <c r="H21" s="256"/>
    </row>
    <row r="22" spans="1:8" ht="15" x14ac:dyDescent="0.25">
      <c r="H22" s="59"/>
    </row>
  </sheetData>
  <mergeCells count="5">
    <mergeCell ref="B2:H3"/>
    <mergeCell ref="F6:G6"/>
    <mergeCell ref="B1:G1"/>
    <mergeCell ref="H4:H5"/>
    <mergeCell ref="B21:F21"/>
  </mergeCells>
  <phoneticPr fontId="3" type="noConversion"/>
  <printOptions horizontalCentered="1" verticalCentered="1"/>
  <pageMargins left="0.15748031496063" right="0.36" top="1.0374015750000001" bottom="0.98425196850393704" header="0.78740157480314998" footer="0.511811023622047"/>
  <pageSetup scale="81" orientation="landscape" verticalDpi="300" r:id="rId1"/>
  <headerFooter alignWithMargins="0">
    <oddFooter>&amp;C21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17"/>
  <sheetViews>
    <sheetView rightToLeft="1" showWhiteSpace="0" zoomScaleSheetLayoutView="100" workbookViewId="0">
      <selection activeCell="L19" sqref="L18:L19"/>
    </sheetView>
  </sheetViews>
  <sheetFormatPr defaultRowHeight="12.75" x14ac:dyDescent="0.2"/>
  <cols>
    <col min="1" max="1" width="0.42578125" customWidth="1"/>
    <col min="2" max="2" width="19" customWidth="1"/>
    <col min="3" max="3" width="12.7109375" style="7" customWidth="1"/>
    <col min="4" max="4" width="18.7109375" customWidth="1"/>
    <col min="5" max="5" width="17.5703125" customWidth="1"/>
    <col min="6" max="6" width="16" customWidth="1"/>
    <col min="7" max="7" width="20.85546875" customWidth="1"/>
  </cols>
  <sheetData>
    <row r="1" spans="1:7" ht="21" customHeight="1" x14ac:dyDescent="0.25">
      <c r="A1" s="19"/>
      <c r="B1" s="850" t="s">
        <v>463</v>
      </c>
      <c r="C1" s="850"/>
      <c r="D1" s="850"/>
      <c r="E1" s="850"/>
      <c r="F1" s="850"/>
      <c r="G1" s="850"/>
    </row>
    <row r="2" spans="1:7" ht="15" customHeight="1" x14ac:dyDescent="0.25">
      <c r="A2" s="19"/>
      <c r="B2" s="858" t="s">
        <v>464</v>
      </c>
      <c r="C2" s="858"/>
      <c r="D2" s="858"/>
      <c r="E2" s="858"/>
      <c r="F2" s="858"/>
      <c r="G2" s="858"/>
    </row>
    <row r="3" spans="1:7" ht="15" x14ac:dyDescent="0.25">
      <c r="A3" s="19"/>
      <c r="B3" s="858"/>
      <c r="C3" s="858"/>
      <c r="D3" s="858"/>
      <c r="E3" s="858"/>
      <c r="F3" s="858"/>
      <c r="G3" s="858"/>
    </row>
    <row r="4" spans="1:7" s="7" customFormat="1" ht="15" x14ac:dyDescent="0.25">
      <c r="A4" s="19"/>
      <c r="B4" s="850"/>
      <c r="C4" s="850"/>
      <c r="D4" s="850"/>
      <c r="E4" s="850"/>
      <c r="F4" s="850"/>
      <c r="G4" s="850" t="s">
        <v>215</v>
      </c>
    </row>
    <row r="5" spans="1:7" ht="21" customHeight="1" thickBot="1" x14ac:dyDescent="0.3">
      <c r="A5" s="19"/>
      <c r="B5" s="67" t="s">
        <v>115</v>
      </c>
      <c r="C5" s="660" t="s">
        <v>499</v>
      </c>
      <c r="D5" s="660"/>
      <c r="E5" s="883" t="s">
        <v>332</v>
      </c>
      <c r="F5" s="883"/>
      <c r="G5" s="64" t="s">
        <v>116</v>
      </c>
    </row>
    <row r="6" spans="1:7" ht="15" customHeight="1" x14ac:dyDescent="0.25">
      <c r="A6" s="19"/>
      <c r="B6" s="35"/>
      <c r="C6" s="625" t="s">
        <v>493</v>
      </c>
      <c r="D6" s="27" t="s">
        <v>360</v>
      </c>
      <c r="E6" s="27" t="s">
        <v>81</v>
      </c>
      <c r="F6" s="27" t="s">
        <v>128</v>
      </c>
      <c r="G6" s="35"/>
    </row>
    <row r="7" spans="1:7" ht="15" customHeight="1" x14ac:dyDescent="0.25">
      <c r="A7" s="19"/>
      <c r="B7" s="19"/>
      <c r="C7" s="19"/>
      <c r="D7" s="47"/>
      <c r="E7" s="47" t="s">
        <v>142</v>
      </c>
      <c r="F7" s="654" t="s">
        <v>139</v>
      </c>
      <c r="G7" s="19"/>
    </row>
    <row r="8" spans="1:7" ht="15" customHeight="1" thickBot="1" x14ac:dyDescent="0.3">
      <c r="A8" s="882" t="s">
        <v>144</v>
      </c>
      <c r="B8" s="882"/>
      <c r="C8" s="628" t="s">
        <v>43</v>
      </c>
      <c r="D8" s="72" t="s">
        <v>132</v>
      </c>
      <c r="E8" s="72" t="s">
        <v>132</v>
      </c>
      <c r="F8" s="330" t="s">
        <v>131</v>
      </c>
      <c r="G8" s="44" t="s">
        <v>26</v>
      </c>
    </row>
    <row r="9" spans="1:7" ht="15" customHeight="1" thickTop="1" x14ac:dyDescent="0.25">
      <c r="A9" s="19"/>
      <c r="B9" s="633" t="s">
        <v>380</v>
      </c>
      <c r="C9" s="636">
        <v>0</v>
      </c>
      <c r="D9" s="85">
        <v>0</v>
      </c>
      <c r="E9" s="81">
        <v>107</v>
      </c>
      <c r="F9" s="81">
        <v>26825</v>
      </c>
      <c r="G9" s="630" t="s">
        <v>381</v>
      </c>
    </row>
    <row r="10" spans="1:7" ht="15" customHeight="1" x14ac:dyDescent="0.25">
      <c r="A10" s="19"/>
      <c r="B10" s="634" t="s">
        <v>365</v>
      </c>
      <c r="C10" s="637">
        <v>0</v>
      </c>
      <c r="D10" s="635">
        <v>0</v>
      </c>
      <c r="E10" s="84">
        <v>10</v>
      </c>
      <c r="F10" s="84">
        <v>3120</v>
      </c>
      <c r="G10" s="629" t="s">
        <v>359</v>
      </c>
    </row>
    <row r="11" spans="1:7" ht="15" customHeight="1" x14ac:dyDescent="0.25">
      <c r="A11" s="19"/>
      <c r="B11" s="633" t="s">
        <v>4</v>
      </c>
      <c r="C11" s="636">
        <v>1</v>
      </c>
      <c r="D11" s="85">
        <v>1</v>
      </c>
      <c r="E11" s="81">
        <v>4955</v>
      </c>
      <c r="F11" s="81">
        <v>1985360</v>
      </c>
      <c r="G11" s="181" t="s">
        <v>16</v>
      </c>
    </row>
    <row r="12" spans="1:7" s="7" customFormat="1" ht="15" customHeight="1" x14ac:dyDescent="0.25">
      <c r="A12" s="19"/>
      <c r="B12" s="261" t="s">
        <v>6</v>
      </c>
      <c r="C12" s="644">
        <v>0</v>
      </c>
      <c r="D12" s="86">
        <v>0</v>
      </c>
      <c r="E12" s="84">
        <v>50</v>
      </c>
      <c r="F12" s="83">
        <v>174720</v>
      </c>
      <c r="G12" s="507" t="s">
        <v>24</v>
      </c>
    </row>
    <row r="13" spans="1:7" ht="15" customHeight="1" thickBot="1" x14ac:dyDescent="0.3">
      <c r="A13" s="19"/>
      <c r="B13" s="633" t="s">
        <v>13</v>
      </c>
      <c r="C13" s="636">
        <v>0</v>
      </c>
      <c r="D13" s="10">
        <v>3</v>
      </c>
      <c r="E13" s="10">
        <v>277</v>
      </c>
      <c r="F13" s="181">
        <v>138460</v>
      </c>
      <c r="G13" s="181" t="s">
        <v>22</v>
      </c>
    </row>
    <row r="14" spans="1:7" ht="15.75" customHeight="1" thickBot="1" x14ac:dyDescent="0.25">
      <c r="A14" s="5"/>
      <c r="B14" s="198" t="s">
        <v>0</v>
      </c>
      <c r="C14" s="200">
        <f>SUM(C9:C13)</f>
        <v>1</v>
      </c>
      <c r="D14" s="199">
        <f>SUM(D9:D13)</f>
        <v>4</v>
      </c>
      <c r="E14" s="194">
        <f>SUM(E9:E13)</f>
        <v>5399</v>
      </c>
      <c r="F14" s="194">
        <f>SUM(F9:F13)</f>
        <v>2328485</v>
      </c>
      <c r="G14" s="200" t="s">
        <v>1</v>
      </c>
    </row>
    <row r="15" spans="1:7" ht="15.75" thickTop="1" x14ac:dyDescent="0.25">
      <c r="B15" s="237"/>
      <c r="C15" s="237"/>
      <c r="D15" s="237"/>
      <c r="E15" s="237"/>
      <c r="F15" s="237"/>
      <c r="G15" s="59"/>
    </row>
    <row r="16" spans="1:7" x14ac:dyDescent="0.2">
      <c r="B16" s="874"/>
      <c r="C16" s="874"/>
      <c r="D16" s="874"/>
      <c r="E16" s="874"/>
      <c r="F16" s="874"/>
      <c r="G16" s="874"/>
    </row>
    <row r="17" spans="4:6" x14ac:dyDescent="0.2">
      <c r="D17" s="7"/>
      <c r="E17" s="7"/>
      <c r="F17" s="7"/>
    </row>
  </sheetData>
  <mergeCells count="6">
    <mergeCell ref="B16:G16"/>
    <mergeCell ref="A8:B8"/>
    <mergeCell ref="B1:G1"/>
    <mergeCell ref="B2:G3"/>
    <mergeCell ref="E5:F5"/>
    <mergeCell ref="B4:G4"/>
  </mergeCells>
  <phoneticPr fontId="3" type="noConversion"/>
  <printOptions horizontalCentered="1" verticalCentered="1"/>
  <pageMargins left="0.51" right="1.47" top="1.0374015750000001" bottom="0.98425196850393704" header="0.78740157480314998" footer="0.511811023622047"/>
  <pageSetup scale="95" orientation="landscape" verticalDpi="300" r:id="rId1"/>
  <headerFooter alignWithMargins="0">
    <oddFooter>&amp;C22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49"/>
  <sheetViews>
    <sheetView rightToLeft="1" zoomScale="106" zoomScaleNormal="106" zoomScaleSheetLayoutView="124" zoomScalePageLayoutView="91" workbookViewId="0">
      <selection activeCell="H26" sqref="H26"/>
    </sheetView>
  </sheetViews>
  <sheetFormatPr defaultRowHeight="12.75" x14ac:dyDescent="0.2"/>
  <cols>
    <col min="1" max="1" width="9.28515625" customWidth="1"/>
    <col min="2" max="2" width="9" customWidth="1"/>
    <col min="3" max="3" width="13.140625" customWidth="1"/>
    <col min="4" max="4" width="6.85546875" customWidth="1"/>
    <col min="5" max="5" width="12.5703125" customWidth="1"/>
    <col min="6" max="6" width="6.7109375" customWidth="1"/>
    <col min="7" max="7" width="12.28515625" customWidth="1"/>
    <col min="8" max="8" width="8.7109375" style="7" customWidth="1"/>
    <col min="9" max="9" width="14.28515625" customWidth="1"/>
    <col min="10" max="10" width="13.7109375" style="298" customWidth="1"/>
    <col min="11" max="11" width="13.7109375" customWidth="1"/>
    <col min="12" max="12" width="14.7109375" customWidth="1"/>
  </cols>
  <sheetData>
    <row r="1" spans="1:14" ht="16.5" customHeight="1" x14ac:dyDescent="0.2">
      <c r="A1" s="850" t="s">
        <v>465</v>
      </c>
      <c r="B1" s="850"/>
      <c r="C1" s="850"/>
      <c r="D1" s="850"/>
      <c r="E1" s="850"/>
      <c r="F1" s="850"/>
      <c r="G1" s="850"/>
      <c r="H1" s="850"/>
      <c r="I1" s="850"/>
      <c r="J1" s="850"/>
      <c r="K1" s="850"/>
      <c r="L1" s="81" t="s">
        <v>218</v>
      </c>
    </row>
    <row r="2" spans="1:14" ht="15" customHeight="1" x14ac:dyDescent="0.2">
      <c r="A2" s="871" t="s">
        <v>466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4" t="s">
        <v>214</v>
      </c>
    </row>
    <row r="3" spans="1:14" ht="19.5" customHeight="1" thickBot="1" x14ac:dyDescent="0.3">
      <c r="A3" s="885" t="s">
        <v>411</v>
      </c>
      <c r="B3" s="885"/>
      <c r="C3" s="53"/>
      <c r="D3" s="53"/>
      <c r="E3" s="53"/>
      <c r="F3" s="71"/>
      <c r="G3" s="71"/>
      <c r="H3" s="71"/>
      <c r="I3" s="53"/>
      <c r="J3" s="299"/>
      <c r="K3" s="53"/>
      <c r="L3" s="53" t="s">
        <v>87</v>
      </c>
    </row>
    <row r="4" spans="1:14" s="456" customFormat="1" ht="25.5" customHeight="1" x14ac:dyDescent="0.2">
      <c r="A4" s="457"/>
      <c r="B4" s="886" t="s">
        <v>88</v>
      </c>
      <c r="C4" s="886"/>
      <c r="D4" s="886" t="s">
        <v>89</v>
      </c>
      <c r="E4" s="886"/>
      <c r="F4" s="886" t="s">
        <v>90</v>
      </c>
      <c r="G4" s="886"/>
      <c r="H4" s="459"/>
      <c r="I4" s="459" t="s">
        <v>0</v>
      </c>
      <c r="J4" s="887" t="s">
        <v>436</v>
      </c>
      <c r="K4" s="887"/>
      <c r="L4" s="457"/>
    </row>
    <row r="5" spans="1:14" ht="25.5" customHeight="1" x14ac:dyDescent="0.2">
      <c r="B5" s="884" t="s">
        <v>91</v>
      </c>
      <c r="C5" s="884"/>
      <c r="D5" s="884" t="s">
        <v>92</v>
      </c>
      <c r="E5" s="884"/>
      <c r="F5" s="884" t="s">
        <v>93</v>
      </c>
      <c r="G5" s="884"/>
      <c r="H5" s="324"/>
      <c r="I5" s="300" t="s">
        <v>426</v>
      </c>
      <c r="J5" s="300"/>
      <c r="K5" s="458" t="s">
        <v>426</v>
      </c>
      <c r="L5" s="55"/>
    </row>
    <row r="6" spans="1:14" ht="21.75" customHeight="1" x14ac:dyDescent="0.2">
      <c r="A6" s="819"/>
      <c r="B6" s="274" t="s">
        <v>379</v>
      </c>
      <c r="C6" s="274" t="s">
        <v>94</v>
      </c>
      <c r="D6" s="274" t="s">
        <v>67</v>
      </c>
      <c r="E6" s="816" t="s">
        <v>94</v>
      </c>
      <c r="F6" s="274" t="s">
        <v>379</v>
      </c>
      <c r="G6" s="274" t="s">
        <v>94</v>
      </c>
      <c r="H6" s="274" t="s">
        <v>435</v>
      </c>
      <c r="I6" s="274" t="s">
        <v>94</v>
      </c>
      <c r="J6" s="274" t="s">
        <v>397</v>
      </c>
      <c r="K6" s="274" t="s">
        <v>94</v>
      </c>
      <c r="L6" s="34"/>
    </row>
    <row r="7" spans="1:14" ht="27" customHeight="1" x14ac:dyDescent="0.25">
      <c r="A7" s="808" t="s">
        <v>51</v>
      </c>
      <c r="B7" s="303" t="s">
        <v>133</v>
      </c>
      <c r="C7" s="303" t="s">
        <v>95</v>
      </c>
      <c r="D7" s="303" t="s">
        <v>133</v>
      </c>
      <c r="E7" s="303" t="s">
        <v>95</v>
      </c>
      <c r="F7" s="52" t="s">
        <v>133</v>
      </c>
      <c r="G7" s="303" t="s">
        <v>95</v>
      </c>
      <c r="H7" s="320" t="s">
        <v>133</v>
      </c>
      <c r="I7" s="304" t="s">
        <v>95</v>
      </c>
      <c r="J7" s="303" t="s">
        <v>428</v>
      </c>
      <c r="K7" s="303" t="s">
        <v>95</v>
      </c>
      <c r="L7" s="808" t="s">
        <v>26</v>
      </c>
      <c r="N7" s="7"/>
    </row>
    <row r="8" spans="1:14" ht="15" customHeight="1" x14ac:dyDescent="0.25">
      <c r="A8" s="34" t="s">
        <v>380</v>
      </c>
      <c r="B8" s="309">
        <v>291</v>
      </c>
      <c r="C8" s="307">
        <f>B8*25*290</f>
        <v>2109750</v>
      </c>
      <c r="D8" s="305">
        <v>9</v>
      </c>
      <c r="E8" s="307">
        <f>D8*30*290</f>
        <v>78300</v>
      </c>
      <c r="F8" s="305">
        <v>47</v>
      </c>
      <c r="G8" s="307">
        <f>F8*60*290</f>
        <v>817800</v>
      </c>
      <c r="H8" s="307">
        <f>B8+D8+F8</f>
        <v>347</v>
      </c>
      <c r="I8" s="305">
        <f>C8+E8+H8</f>
        <v>2188397</v>
      </c>
      <c r="J8" s="305">
        <v>3770826</v>
      </c>
      <c r="K8" s="305">
        <f>I8+J8</f>
        <v>5959223</v>
      </c>
      <c r="L8" s="54" t="s">
        <v>381</v>
      </c>
      <c r="N8" s="7"/>
    </row>
    <row r="9" spans="1:14" s="161" customFormat="1" ht="15" customHeight="1" x14ac:dyDescent="0.25">
      <c r="A9" s="55" t="s">
        <v>30</v>
      </c>
      <c r="B9" s="308">
        <v>1598</v>
      </c>
      <c r="C9" s="358">
        <f>B9*25*290</f>
        <v>11585500</v>
      </c>
      <c r="D9" s="306">
        <v>95</v>
      </c>
      <c r="E9" s="358">
        <f>D9*30*290</f>
        <v>826500</v>
      </c>
      <c r="F9" s="306">
        <v>232</v>
      </c>
      <c r="G9" s="358">
        <f>F9*70*290</f>
        <v>4709600</v>
      </c>
      <c r="H9" s="358">
        <f t="shared" ref="H9:H22" si="0">B9+D9+F9</f>
        <v>1925</v>
      </c>
      <c r="I9" s="306">
        <f>C9+E9+G9</f>
        <v>17121600</v>
      </c>
      <c r="J9" s="306">
        <v>9008531</v>
      </c>
      <c r="K9" s="306">
        <f>I9+J9</f>
        <v>26130131</v>
      </c>
      <c r="L9" s="349" t="s">
        <v>31</v>
      </c>
    </row>
    <row r="10" spans="1:14" ht="15" customHeight="1" x14ac:dyDescent="0.25">
      <c r="A10" s="15" t="s">
        <v>3</v>
      </c>
      <c r="B10" s="309">
        <v>2143</v>
      </c>
      <c r="C10" s="307">
        <f>B10*25*290</f>
        <v>15536750</v>
      </c>
      <c r="D10" s="309">
        <v>197</v>
      </c>
      <c r="E10" s="307">
        <f>D10*30*290</f>
        <v>1713900</v>
      </c>
      <c r="F10" s="305">
        <v>274</v>
      </c>
      <c r="G10" s="307">
        <f>F10*75*290</f>
        <v>5959500</v>
      </c>
      <c r="H10" s="307">
        <f t="shared" si="0"/>
        <v>2614</v>
      </c>
      <c r="I10" s="305">
        <f t="shared" ref="I10:I22" si="1">C10+E10+G10</f>
        <v>23210150</v>
      </c>
      <c r="J10" s="305">
        <v>40464355</v>
      </c>
      <c r="K10" s="305">
        <f t="shared" ref="K10:K22" si="2">I10+J10</f>
        <v>63674505</v>
      </c>
      <c r="L10" s="54" t="s">
        <v>15</v>
      </c>
    </row>
    <row r="11" spans="1:14" s="161" customFormat="1" ht="15" customHeight="1" x14ac:dyDescent="0.25">
      <c r="A11" s="797" t="s">
        <v>358</v>
      </c>
      <c r="B11" s="308">
        <v>473</v>
      </c>
      <c r="C11" s="358">
        <f>B11*25*290</f>
        <v>3429250</v>
      </c>
      <c r="D11" s="308">
        <v>40</v>
      </c>
      <c r="E11" s="358">
        <f>D11*30*290</f>
        <v>348000</v>
      </c>
      <c r="F11" s="306">
        <v>66</v>
      </c>
      <c r="G11" s="358">
        <f>F11*65*290</f>
        <v>1244100</v>
      </c>
      <c r="H11" s="358">
        <f t="shared" si="0"/>
        <v>579</v>
      </c>
      <c r="I11" s="306">
        <f t="shared" si="1"/>
        <v>5021350</v>
      </c>
      <c r="J11" s="306">
        <v>305947</v>
      </c>
      <c r="K11" s="306">
        <f t="shared" si="2"/>
        <v>5327297</v>
      </c>
      <c r="L11" s="349" t="s">
        <v>359</v>
      </c>
    </row>
    <row r="12" spans="1:14" s="161" customFormat="1" ht="15" customHeight="1" x14ac:dyDescent="0.25">
      <c r="A12" s="55" t="s">
        <v>4</v>
      </c>
      <c r="B12" s="308">
        <v>13791</v>
      </c>
      <c r="C12" s="358">
        <f>B12*30*290</f>
        <v>119981700</v>
      </c>
      <c r="D12" s="306">
        <v>1056</v>
      </c>
      <c r="E12" s="358">
        <f>D12*35*290</f>
        <v>10718400</v>
      </c>
      <c r="F12" s="306">
        <v>1712</v>
      </c>
      <c r="G12" s="358">
        <f>F12*80*290</f>
        <v>39718400</v>
      </c>
      <c r="H12" s="358">
        <f t="shared" si="0"/>
        <v>16559</v>
      </c>
      <c r="I12" s="306">
        <f t="shared" si="1"/>
        <v>170418500</v>
      </c>
      <c r="J12" s="306">
        <v>138043567</v>
      </c>
      <c r="K12" s="306">
        <f t="shared" si="2"/>
        <v>308462067</v>
      </c>
      <c r="L12" s="349" t="s">
        <v>16</v>
      </c>
    </row>
    <row r="13" spans="1:14" ht="15" customHeight="1" x14ac:dyDescent="0.25">
      <c r="A13" s="34" t="s">
        <v>5</v>
      </c>
      <c r="B13" s="309">
        <v>1083</v>
      </c>
      <c r="C13" s="307">
        <f>B13*30*290</f>
        <v>9422100</v>
      </c>
      <c r="D13" s="305">
        <v>78</v>
      </c>
      <c r="E13" s="307">
        <f>D13*25*290</f>
        <v>565500</v>
      </c>
      <c r="F13" s="305">
        <v>127</v>
      </c>
      <c r="G13" s="307">
        <f>F13*80-290</f>
        <v>9870</v>
      </c>
      <c r="H13" s="307">
        <f t="shared" si="0"/>
        <v>1288</v>
      </c>
      <c r="I13" s="305">
        <f t="shared" si="1"/>
        <v>9997470</v>
      </c>
      <c r="J13" s="305">
        <v>9576427</v>
      </c>
      <c r="K13" s="305">
        <f t="shared" si="2"/>
        <v>19573897</v>
      </c>
      <c r="L13" s="54" t="s">
        <v>23</v>
      </c>
    </row>
    <row r="14" spans="1:14" s="161" customFormat="1" ht="15" customHeight="1" x14ac:dyDescent="0.25">
      <c r="A14" s="55" t="s">
        <v>6</v>
      </c>
      <c r="B14" s="308">
        <v>1284</v>
      </c>
      <c r="C14" s="358">
        <f>B14*25*290</f>
        <v>9309000</v>
      </c>
      <c r="D14" s="306">
        <v>42</v>
      </c>
      <c r="E14" s="358">
        <f>D14*35*290</f>
        <v>426300</v>
      </c>
      <c r="F14" s="306">
        <v>169</v>
      </c>
      <c r="G14" s="358">
        <f>F14*75*290</f>
        <v>3675750</v>
      </c>
      <c r="H14" s="358">
        <f t="shared" si="0"/>
        <v>1495</v>
      </c>
      <c r="I14" s="306">
        <f t="shared" si="1"/>
        <v>13411050</v>
      </c>
      <c r="J14" s="306">
        <v>0</v>
      </c>
      <c r="K14" s="306">
        <f t="shared" si="2"/>
        <v>13411050</v>
      </c>
      <c r="L14" s="349" t="s">
        <v>24</v>
      </c>
    </row>
    <row r="15" spans="1:14" ht="15" customHeight="1" x14ac:dyDescent="0.25">
      <c r="A15" s="34" t="s">
        <v>11</v>
      </c>
      <c r="B15" s="309">
        <v>695</v>
      </c>
      <c r="C15" s="307">
        <f>B15*25*290</f>
        <v>5038750</v>
      </c>
      <c r="D15" s="305">
        <v>41</v>
      </c>
      <c r="E15" s="307">
        <f>D15*35*290</f>
        <v>416150</v>
      </c>
      <c r="F15" s="305">
        <v>95</v>
      </c>
      <c r="G15" s="307">
        <f>F15*75*290</f>
        <v>2066250</v>
      </c>
      <c r="H15" s="307">
        <f t="shared" si="0"/>
        <v>831</v>
      </c>
      <c r="I15" s="305">
        <f t="shared" si="1"/>
        <v>7521150</v>
      </c>
      <c r="J15" s="305">
        <v>12521683</v>
      </c>
      <c r="K15" s="305">
        <f t="shared" si="2"/>
        <v>20042833</v>
      </c>
      <c r="L15" s="54" t="s">
        <v>21</v>
      </c>
    </row>
    <row r="16" spans="1:14" s="161" customFormat="1" ht="15" customHeight="1" x14ac:dyDescent="0.25">
      <c r="A16" s="359" t="s">
        <v>2</v>
      </c>
      <c r="B16" s="308">
        <v>782</v>
      </c>
      <c r="C16" s="358">
        <f>B16*25*290</f>
        <v>5669500</v>
      </c>
      <c r="D16" s="306">
        <v>91</v>
      </c>
      <c r="E16" s="358">
        <f>D16*30*290</f>
        <v>791700</v>
      </c>
      <c r="F16" s="306">
        <v>103</v>
      </c>
      <c r="G16" s="358">
        <f>F16*70*290</f>
        <v>2090900</v>
      </c>
      <c r="H16" s="358">
        <f t="shared" si="0"/>
        <v>976</v>
      </c>
      <c r="I16" s="306">
        <f t="shared" si="1"/>
        <v>8552100</v>
      </c>
      <c r="J16" s="306">
        <v>2340097</v>
      </c>
      <c r="K16" s="306">
        <f t="shared" si="2"/>
        <v>10892197</v>
      </c>
      <c r="L16" s="360" t="s">
        <v>14</v>
      </c>
    </row>
    <row r="17" spans="1:12" ht="15" customHeight="1" x14ac:dyDescent="0.25">
      <c r="A17" s="34" t="s">
        <v>7</v>
      </c>
      <c r="B17" s="309">
        <v>1692</v>
      </c>
      <c r="C17" s="307">
        <f>B17*25*290</f>
        <v>12267000</v>
      </c>
      <c r="D17" s="305">
        <v>163</v>
      </c>
      <c r="E17" s="307">
        <f>D17*30*290</f>
        <v>1418100</v>
      </c>
      <c r="F17" s="305">
        <v>231</v>
      </c>
      <c r="G17" s="307">
        <f>F17*60*290</f>
        <v>4019400</v>
      </c>
      <c r="H17" s="307">
        <f t="shared" si="0"/>
        <v>2086</v>
      </c>
      <c r="I17" s="305">
        <f t="shared" si="1"/>
        <v>17704500</v>
      </c>
      <c r="J17" s="305">
        <v>14632815</v>
      </c>
      <c r="K17" s="305">
        <f t="shared" si="2"/>
        <v>32337315</v>
      </c>
      <c r="L17" s="54" t="s">
        <v>17</v>
      </c>
    </row>
    <row r="18" spans="1:12" s="161" customFormat="1" ht="15" customHeight="1" x14ac:dyDescent="0.25">
      <c r="A18" s="55" t="s">
        <v>8</v>
      </c>
      <c r="B18" s="308">
        <v>761</v>
      </c>
      <c r="C18" s="358">
        <f>B18*20*290</f>
        <v>4413800</v>
      </c>
      <c r="D18" s="306">
        <v>37</v>
      </c>
      <c r="E18" s="358">
        <f>D18*30*290</f>
        <v>321900</v>
      </c>
      <c r="F18" s="306">
        <v>99</v>
      </c>
      <c r="G18" s="358">
        <f>F18*70*290</f>
        <v>2009700</v>
      </c>
      <c r="H18" s="358">
        <f t="shared" si="0"/>
        <v>897</v>
      </c>
      <c r="I18" s="306">
        <f t="shared" si="1"/>
        <v>6745400</v>
      </c>
      <c r="J18" s="306">
        <v>9384</v>
      </c>
      <c r="K18" s="306">
        <f t="shared" si="2"/>
        <v>6754784</v>
      </c>
      <c r="L18" s="349" t="s">
        <v>18</v>
      </c>
    </row>
    <row r="19" spans="1:12" ht="15" customHeight="1" x14ac:dyDescent="0.25">
      <c r="A19" s="34" t="s">
        <v>9</v>
      </c>
      <c r="B19" s="309">
        <v>1020</v>
      </c>
      <c r="C19" s="307">
        <f>B19*25*290</f>
        <v>7395000</v>
      </c>
      <c r="D19" s="305">
        <v>42</v>
      </c>
      <c r="E19" s="307">
        <f>D19*30*290</f>
        <v>365400</v>
      </c>
      <c r="F19" s="305">
        <v>121</v>
      </c>
      <c r="G19" s="307">
        <f>F19*60*290</f>
        <v>2105400</v>
      </c>
      <c r="H19" s="307">
        <f t="shared" si="0"/>
        <v>1183</v>
      </c>
      <c r="I19" s="305">
        <f t="shared" si="1"/>
        <v>9865800</v>
      </c>
      <c r="J19" s="305">
        <v>5772522</v>
      </c>
      <c r="K19" s="305">
        <f t="shared" si="2"/>
        <v>15638322</v>
      </c>
      <c r="L19" s="54" t="s">
        <v>19</v>
      </c>
    </row>
    <row r="20" spans="1:12" s="161" customFormat="1" ht="15" customHeight="1" x14ac:dyDescent="0.25">
      <c r="A20" s="55" t="s">
        <v>10</v>
      </c>
      <c r="B20" s="308">
        <v>1179</v>
      </c>
      <c r="C20" s="358">
        <f>B20*25*290</f>
        <v>8547750</v>
      </c>
      <c r="D20" s="306">
        <v>31</v>
      </c>
      <c r="E20" s="358">
        <f>D20*35*290</f>
        <v>314650</v>
      </c>
      <c r="F20" s="306">
        <v>169</v>
      </c>
      <c r="G20" s="358">
        <f>F20*75*290</f>
        <v>3675750</v>
      </c>
      <c r="H20" s="358">
        <f t="shared" si="0"/>
        <v>1379</v>
      </c>
      <c r="I20" s="306">
        <f t="shared" si="1"/>
        <v>12538150</v>
      </c>
      <c r="J20" s="306">
        <v>12588</v>
      </c>
      <c r="K20" s="306">
        <f t="shared" si="2"/>
        <v>12550738</v>
      </c>
      <c r="L20" s="349" t="s">
        <v>20</v>
      </c>
    </row>
    <row r="21" spans="1:12" ht="15" customHeight="1" x14ac:dyDescent="0.25">
      <c r="A21" s="34" t="s">
        <v>12</v>
      </c>
      <c r="B21" s="309">
        <v>377</v>
      </c>
      <c r="C21" s="307">
        <f>B21*25*290</f>
        <v>2733250</v>
      </c>
      <c r="D21" s="305">
        <v>5</v>
      </c>
      <c r="E21" s="307">
        <f>D21*30*290</f>
        <v>43500</v>
      </c>
      <c r="F21" s="305">
        <v>59</v>
      </c>
      <c r="G21" s="307">
        <f>F21*75*290</f>
        <v>1283250</v>
      </c>
      <c r="H21" s="307">
        <f t="shared" si="0"/>
        <v>441</v>
      </c>
      <c r="I21" s="305">
        <f t="shared" si="1"/>
        <v>4060000</v>
      </c>
      <c r="J21" s="305">
        <v>208231</v>
      </c>
      <c r="K21" s="305">
        <f t="shared" si="2"/>
        <v>4268231</v>
      </c>
      <c r="L21" s="791" t="s">
        <v>25</v>
      </c>
    </row>
    <row r="22" spans="1:12" s="161" customFormat="1" ht="15" customHeight="1" thickBot="1" x14ac:dyDescent="0.3">
      <c r="A22" s="55" t="s">
        <v>13</v>
      </c>
      <c r="B22" s="308">
        <v>2940</v>
      </c>
      <c r="C22" s="358">
        <f>B22*30*290</f>
        <v>25578000</v>
      </c>
      <c r="D22" s="306">
        <v>63</v>
      </c>
      <c r="E22" s="358">
        <f>D22*40*290</f>
        <v>730800</v>
      </c>
      <c r="F22" s="306">
        <v>363</v>
      </c>
      <c r="G22" s="358">
        <f>F22*80*290</f>
        <v>8421600</v>
      </c>
      <c r="H22" s="358">
        <f t="shared" si="0"/>
        <v>3366</v>
      </c>
      <c r="I22" s="306">
        <f t="shared" si="1"/>
        <v>34730400</v>
      </c>
      <c r="J22" s="306">
        <v>26443557</v>
      </c>
      <c r="K22" s="306">
        <f t="shared" si="2"/>
        <v>61173957</v>
      </c>
      <c r="L22" s="349" t="s">
        <v>22</v>
      </c>
    </row>
    <row r="23" spans="1:12" s="369" customFormat="1" ht="19.5" customHeight="1" thickBot="1" x14ac:dyDescent="0.25">
      <c r="A23" s="793" t="s">
        <v>0</v>
      </c>
      <c r="B23" s="820">
        <f t="shared" ref="B23:K23" si="3">SUM(B8:B22)</f>
        <v>30109</v>
      </c>
      <c r="C23" s="820">
        <f t="shared" si="3"/>
        <v>243017100</v>
      </c>
      <c r="D23" s="820">
        <f t="shared" si="3"/>
        <v>1990</v>
      </c>
      <c r="E23" s="820">
        <f t="shared" si="3"/>
        <v>19079100</v>
      </c>
      <c r="F23" s="820">
        <f t="shared" si="3"/>
        <v>3867</v>
      </c>
      <c r="G23" s="820">
        <f t="shared" si="3"/>
        <v>81807270</v>
      </c>
      <c r="H23" s="820">
        <f t="shared" si="3"/>
        <v>35966</v>
      </c>
      <c r="I23" s="820">
        <f t="shared" si="3"/>
        <v>343086017</v>
      </c>
      <c r="J23" s="474">
        <f t="shared" si="3"/>
        <v>263110530</v>
      </c>
      <c r="K23" s="474">
        <f t="shared" si="3"/>
        <v>606196547</v>
      </c>
      <c r="L23" s="792" t="s">
        <v>1</v>
      </c>
    </row>
    <row r="24" spans="1:12" x14ac:dyDescent="0.2">
      <c r="A24" s="8"/>
      <c r="B24" s="301"/>
      <c r="E24" s="6"/>
      <c r="I24" s="8"/>
      <c r="J24" s="277"/>
      <c r="K24" s="8"/>
      <c r="L24" s="8"/>
    </row>
    <row r="25" spans="1:12" x14ac:dyDescent="0.2">
      <c r="A25" s="8"/>
      <c r="B25" s="6"/>
      <c r="D25" s="7"/>
      <c r="E25" s="6"/>
    </row>
    <row r="26" spans="1:12" x14ac:dyDescent="0.2">
      <c r="B26" s="6"/>
      <c r="C26" s="8"/>
      <c r="D26" s="7"/>
      <c r="E26" s="302"/>
      <c r="F26" s="217"/>
      <c r="G26" s="217"/>
      <c r="H26" s="217"/>
    </row>
    <row r="27" spans="1:12" x14ac:dyDescent="0.2">
      <c r="B27" s="6"/>
      <c r="C27" s="8"/>
      <c r="D27" s="7"/>
      <c r="E27" s="301"/>
      <c r="F27" s="8"/>
      <c r="G27" s="8"/>
      <c r="H27" s="8"/>
    </row>
    <row r="28" spans="1:12" x14ac:dyDescent="0.2">
      <c r="B28" s="6"/>
      <c r="C28" s="8"/>
      <c r="D28" s="7"/>
      <c r="E28" s="6"/>
    </row>
    <row r="29" spans="1:12" x14ac:dyDescent="0.2">
      <c r="B29" s="6"/>
      <c r="C29" s="8"/>
      <c r="D29" s="7"/>
      <c r="E29" s="6"/>
    </row>
    <row r="30" spans="1:12" x14ac:dyDescent="0.2">
      <c r="B30" s="6"/>
      <c r="C30" s="8"/>
      <c r="D30" s="7"/>
      <c r="E30" s="6"/>
    </row>
    <row r="31" spans="1:12" x14ac:dyDescent="0.2">
      <c r="B31" s="6"/>
      <c r="C31" s="8"/>
      <c r="D31" s="7"/>
      <c r="E31" s="6"/>
    </row>
    <row r="32" spans="1:12" x14ac:dyDescent="0.2">
      <c r="B32" s="6"/>
      <c r="C32" s="8"/>
      <c r="D32" s="7"/>
      <c r="E32" s="6"/>
    </row>
    <row r="33" spans="2:9" x14ac:dyDescent="0.2">
      <c r="B33" s="6"/>
      <c r="C33" s="8"/>
      <c r="D33" s="7"/>
      <c r="E33" s="6"/>
    </row>
    <row r="34" spans="2:9" x14ac:dyDescent="0.2">
      <c r="B34" s="6"/>
      <c r="C34" s="8"/>
      <c r="D34" s="7"/>
      <c r="E34" s="6"/>
    </row>
    <row r="35" spans="2:9" x14ac:dyDescent="0.2">
      <c r="B35" s="6"/>
      <c r="C35" s="8"/>
      <c r="D35" s="7"/>
      <c r="E35" s="6"/>
      <c r="I35" t="s">
        <v>378</v>
      </c>
    </row>
    <row r="36" spans="2:9" x14ac:dyDescent="0.2">
      <c r="B36" s="6"/>
      <c r="C36" s="8"/>
      <c r="D36" s="7"/>
      <c r="E36" s="6"/>
      <c r="I36">
        <v>18820</v>
      </c>
    </row>
    <row r="37" spans="2:9" x14ac:dyDescent="0.2">
      <c r="B37" s="6"/>
      <c r="C37" s="8"/>
      <c r="D37" s="7"/>
      <c r="E37" s="6"/>
      <c r="I37">
        <v>843709</v>
      </c>
    </row>
    <row r="38" spans="2:9" x14ac:dyDescent="0.2">
      <c r="I38">
        <v>242</v>
      </c>
    </row>
    <row r="39" spans="2:9" x14ac:dyDescent="0.2">
      <c r="I39">
        <v>1812316</v>
      </c>
    </row>
    <row r="40" spans="2:9" x14ac:dyDescent="0.2">
      <c r="I40">
        <v>29004</v>
      </c>
    </row>
    <row r="41" spans="2:9" x14ac:dyDescent="0.2">
      <c r="I41">
        <v>0</v>
      </c>
    </row>
    <row r="42" spans="2:9" x14ac:dyDescent="0.2">
      <c r="I42">
        <v>22009</v>
      </c>
    </row>
    <row r="43" spans="2:9" x14ac:dyDescent="0.2">
      <c r="I43">
        <v>1723</v>
      </c>
    </row>
    <row r="44" spans="2:9" x14ac:dyDescent="0.2">
      <c r="I44">
        <v>54086</v>
      </c>
    </row>
    <row r="45" spans="2:9" x14ac:dyDescent="0.2">
      <c r="I45">
        <v>0</v>
      </c>
    </row>
    <row r="46" spans="2:9" x14ac:dyDescent="0.2">
      <c r="I46">
        <v>0</v>
      </c>
    </row>
    <row r="47" spans="2:9" x14ac:dyDescent="0.2">
      <c r="I47">
        <v>886</v>
      </c>
    </row>
    <row r="48" spans="2:9" x14ac:dyDescent="0.2">
      <c r="I48">
        <v>0</v>
      </c>
    </row>
    <row r="49" spans="9:9" x14ac:dyDescent="0.2">
      <c r="I49">
        <v>8</v>
      </c>
    </row>
  </sheetData>
  <mergeCells count="10">
    <mergeCell ref="A1:K1"/>
    <mergeCell ref="A2:K2"/>
    <mergeCell ref="D5:E5"/>
    <mergeCell ref="F5:G5"/>
    <mergeCell ref="B5:C5"/>
    <mergeCell ref="A3:B3"/>
    <mergeCell ref="B4:C4"/>
    <mergeCell ref="D4:E4"/>
    <mergeCell ref="F4:G4"/>
    <mergeCell ref="J4:K4"/>
  </mergeCells>
  <phoneticPr fontId="3" type="noConversion"/>
  <printOptions horizontalCentered="1" verticalCentered="1"/>
  <pageMargins left="0.35" right="0.47" top="1.39" bottom="0.98425196850393704" header="0.78740157480314965" footer="0.51181102362204722"/>
  <pageSetup scale="98" orientation="landscape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4:F49"/>
  <sheetViews>
    <sheetView rightToLeft="1" zoomScaleNormal="100" zoomScaleSheetLayoutView="100" workbookViewId="0">
      <selection activeCell="Q22" sqref="Q22"/>
    </sheetView>
  </sheetViews>
  <sheetFormatPr defaultRowHeight="12.75" x14ac:dyDescent="0.2"/>
  <cols>
    <col min="5" max="5" width="8.85546875" customWidth="1"/>
    <col min="6" max="6" width="8.140625" customWidth="1"/>
    <col min="13" max="13" width="9.85546875" customWidth="1"/>
  </cols>
  <sheetData>
    <row r="34" spans="5:6" x14ac:dyDescent="0.2">
      <c r="E34" s="844"/>
      <c r="F34" s="844"/>
    </row>
    <row r="39" spans="5:6" ht="17.25" customHeight="1" x14ac:dyDescent="0.2"/>
    <row r="45" spans="5:6" ht="18.75" customHeight="1" x14ac:dyDescent="0.2"/>
    <row r="46" spans="5:6" ht="18" customHeight="1" x14ac:dyDescent="0.2"/>
    <row r="49" ht="27.75" customHeight="1" x14ac:dyDescent="0.2"/>
  </sheetData>
  <mergeCells count="1">
    <mergeCell ref="E34:F34"/>
  </mergeCells>
  <phoneticPr fontId="3" type="noConversion"/>
  <pageMargins left="0.93" right="0.69" top="0.74" bottom="0.79541666666666666" header="1.64" footer="0.84"/>
  <pageSetup scale="92" orientation="landscape" horizontalDpi="4294967293" verticalDpi="1200" r:id="rId1"/>
  <headerFooter alignWithMargins="0">
    <oddFooter>&amp;C24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P27"/>
  <sheetViews>
    <sheetView rightToLeft="1" zoomScaleSheetLayoutView="106" workbookViewId="0">
      <selection activeCell="K27" sqref="K27"/>
    </sheetView>
  </sheetViews>
  <sheetFormatPr defaultRowHeight="12.75" x14ac:dyDescent="0.2"/>
  <cols>
    <col min="1" max="1" width="9.140625" style="7" customWidth="1"/>
    <col min="2" max="2" width="11" style="7" customWidth="1"/>
    <col min="3" max="3" width="15.140625" style="7" customWidth="1"/>
    <col min="4" max="4" width="10" style="7" customWidth="1"/>
    <col min="5" max="5" width="13.28515625" style="7" customWidth="1"/>
    <col min="6" max="7" width="10.5703125" style="7" customWidth="1"/>
    <col min="8" max="8" width="8.7109375" style="7" customWidth="1"/>
    <col min="9" max="9" width="9.140625" style="7" customWidth="1"/>
    <col min="10" max="10" width="10.28515625" style="7" customWidth="1"/>
    <col min="11" max="11" width="12" style="7" customWidth="1"/>
    <col min="12" max="12" width="19" style="7" customWidth="1"/>
  </cols>
  <sheetData>
    <row r="1" spans="1:14" ht="15" customHeight="1" x14ac:dyDescent="0.2">
      <c r="A1" s="888" t="s">
        <v>467</v>
      </c>
      <c r="B1" s="888"/>
      <c r="C1" s="888"/>
      <c r="D1" s="888"/>
      <c r="E1" s="888"/>
      <c r="F1" s="888"/>
      <c r="G1" s="54"/>
      <c r="H1" s="54"/>
      <c r="I1" s="270"/>
      <c r="J1" s="270"/>
      <c r="K1" s="270"/>
      <c r="L1" s="270"/>
      <c r="N1" s="7"/>
    </row>
    <row r="2" spans="1:14" ht="15" customHeight="1" x14ac:dyDescent="0.2">
      <c r="A2" s="892" t="s">
        <v>468</v>
      </c>
      <c r="B2" s="892"/>
      <c r="C2" s="892"/>
      <c r="D2" s="892"/>
      <c r="E2" s="892"/>
      <c r="F2" s="892"/>
      <c r="G2" s="892"/>
      <c r="H2" s="892"/>
      <c r="I2" s="271"/>
      <c r="J2" s="271"/>
      <c r="K2" s="271"/>
      <c r="L2" s="169" t="s">
        <v>318</v>
      </c>
      <c r="N2" s="7"/>
    </row>
    <row r="3" spans="1:14" s="7" customFormat="1" ht="15" x14ac:dyDescent="0.25">
      <c r="A3" s="280"/>
      <c r="B3" s="280"/>
      <c r="C3" s="280"/>
      <c r="D3" s="280"/>
      <c r="E3" s="280"/>
      <c r="F3" s="280"/>
      <c r="G3" s="271"/>
      <c r="H3" s="271"/>
      <c r="I3" s="271"/>
      <c r="J3" s="271"/>
      <c r="L3" s="272" t="s">
        <v>319</v>
      </c>
    </row>
    <row r="4" spans="1:14" ht="15.75" customHeight="1" thickBot="1" x14ac:dyDescent="0.3">
      <c r="A4" s="866" t="s">
        <v>413</v>
      </c>
      <c r="B4" s="866"/>
      <c r="C4" s="278" t="s">
        <v>180</v>
      </c>
      <c r="D4" s="278"/>
      <c r="E4" s="19"/>
      <c r="F4" s="19"/>
      <c r="G4" s="19"/>
      <c r="H4" s="19"/>
      <c r="I4" s="19"/>
      <c r="J4" s="19"/>
      <c r="K4" s="40" t="s">
        <v>117</v>
      </c>
      <c r="L4" s="60" t="s">
        <v>197</v>
      </c>
      <c r="N4" s="7"/>
    </row>
    <row r="5" spans="1:14" ht="15" customHeight="1" x14ac:dyDescent="0.25">
      <c r="A5" s="39"/>
      <c r="B5" s="273" t="s">
        <v>219</v>
      </c>
      <c r="C5" s="273"/>
      <c r="D5" s="273" t="s">
        <v>220</v>
      </c>
      <c r="E5" s="273"/>
      <c r="F5" s="273" t="s">
        <v>221</v>
      </c>
      <c r="G5" s="273"/>
      <c r="H5" s="273" t="s">
        <v>412</v>
      </c>
      <c r="I5" s="273"/>
      <c r="J5" s="890" t="s">
        <v>361</v>
      </c>
      <c r="K5" s="890"/>
      <c r="L5" s="39"/>
      <c r="N5" s="7"/>
    </row>
    <row r="6" spans="1:14" s="7" customFormat="1" ht="33" customHeight="1" x14ac:dyDescent="0.25">
      <c r="A6" s="43"/>
      <c r="B6" s="16" t="s">
        <v>168</v>
      </c>
      <c r="C6" s="34"/>
      <c r="D6" s="274" t="s">
        <v>255</v>
      </c>
      <c r="E6" s="34"/>
      <c r="F6" s="34" t="s">
        <v>254</v>
      </c>
      <c r="G6" s="34"/>
      <c r="H6" s="34" t="s">
        <v>283</v>
      </c>
      <c r="I6" s="274"/>
      <c r="J6" s="891" t="s">
        <v>1</v>
      </c>
      <c r="K6" s="891"/>
      <c r="L6" s="43"/>
    </row>
    <row r="7" spans="1:14" s="161" customFormat="1" ht="15" customHeight="1" x14ac:dyDescent="0.2">
      <c r="A7" s="345"/>
      <c r="B7" s="55" t="s">
        <v>67</v>
      </c>
      <c r="C7" s="55" t="s">
        <v>238</v>
      </c>
      <c r="D7" s="55" t="s">
        <v>67</v>
      </c>
      <c r="E7" s="55" t="s">
        <v>238</v>
      </c>
      <c r="F7" s="55" t="s">
        <v>27</v>
      </c>
      <c r="G7" s="55" t="s">
        <v>238</v>
      </c>
      <c r="H7" s="55" t="s">
        <v>27</v>
      </c>
      <c r="I7" s="55" t="s">
        <v>238</v>
      </c>
      <c r="J7" s="55" t="s">
        <v>67</v>
      </c>
      <c r="K7" s="55" t="s">
        <v>238</v>
      </c>
      <c r="L7" s="345"/>
    </row>
    <row r="8" spans="1:14" s="367" customFormat="1" ht="15" customHeight="1" thickBot="1" x14ac:dyDescent="0.25">
      <c r="A8" s="390" t="s">
        <v>58</v>
      </c>
      <c r="B8" s="364" t="s">
        <v>133</v>
      </c>
      <c r="C8" s="364" t="s">
        <v>29</v>
      </c>
      <c r="D8" s="364" t="s">
        <v>133</v>
      </c>
      <c r="E8" s="364" t="s">
        <v>29</v>
      </c>
      <c r="F8" s="364" t="s">
        <v>133</v>
      </c>
      <c r="G8" s="364" t="s">
        <v>29</v>
      </c>
      <c r="H8" s="364" t="s">
        <v>133</v>
      </c>
      <c r="I8" s="364" t="s">
        <v>29</v>
      </c>
      <c r="J8" s="364" t="s">
        <v>133</v>
      </c>
      <c r="K8" s="364" t="s">
        <v>29</v>
      </c>
      <c r="L8" s="392" t="s">
        <v>26</v>
      </c>
    </row>
    <row r="9" spans="1:14" s="485" customFormat="1" ht="15" customHeight="1" x14ac:dyDescent="0.25">
      <c r="A9" s="673" t="s">
        <v>380</v>
      </c>
      <c r="B9" s="82">
        <v>20.971</v>
      </c>
      <c r="C9" s="85">
        <v>5452.5240000000003</v>
      </c>
      <c r="D9" s="181">
        <v>0</v>
      </c>
      <c r="E9" s="181">
        <v>0</v>
      </c>
      <c r="F9" s="181">
        <v>0</v>
      </c>
      <c r="G9" s="181">
        <v>0</v>
      </c>
      <c r="H9" s="85">
        <v>0</v>
      </c>
      <c r="I9" s="82">
        <v>0</v>
      </c>
      <c r="J9" s="85">
        <f>B9+D9+F9+H9</f>
        <v>20.971</v>
      </c>
      <c r="K9" s="85">
        <f>C9+E9+G9+I9</f>
        <v>5452.5240000000003</v>
      </c>
      <c r="L9" s="10" t="s">
        <v>381</v>
      </c>
    </row>
    <row r="10" spans="1:14" s="313" customFormat="1" ht="21.75" customHeight="1" x14ac:dyDescent="0.25">
      <c r="A10" s="478" t="s">
        <v>30</v>
      </c>
      <c r="B10" s="768">
        <v>15407.102999999999</v>
      </c>
      <c r="C10" s="479">
        <v>3466591.1779999998</v>
      </c>
      <c r="D10" s="507">
        <v>0</v>
      </c>
      <c r="E10" s="507">
        <v>0</v>
      </c>
      <c r="F10" s="507">
        <v>0</v>
      </c>
      <c r="G10" s="507">
        <v>0</v>
      </c>
      <c r="H10" s="479">
        <v>0</v>
      </c>
      <c r="I10" s="480">
        <v>0</v>
      </c>
      <c r="J10" s="479">
        <f t="shared" ref="J10:J23" si="0">B10+D10+F10+H10</f>
        <v>15407.102999999999</v>
      </c>
      <c r="K10" s="479">
        <f t="shared" ref="K10:K23" si="1">C10+E10+G10+I10</f>
        <v>3466591.1779999998</v>
      </c>
      <c r="L10" s="483" t="s">
        <v>31</v>
      </c>
    </row>
    <row r="11" spans="1:14" s="313" customFormat="1" ht="15" customHeight="1" x14ac:dyDescent="0.25">
      <c r="A11" s="673" t="s">
        <v>3</v>
      </c>
      <c r="B11" s="769">
        <v>32612.008999999998</v>
      </c>
      <c r="C11" s="85">
        <v>3261222.986</v>
      </c>
      <c r="D11" s="181">
        <v>13419.325999999999</v>
      </c>
      <c r="E11" s="181">
        <f>D11*154</f>
        <v>2066576.2039999999</v>
      </c>
      <c r="F11" s="181">
        <v>668.51099999999997</v>
      </c>
      <c r="G11" s="181">
        <v>122336.912</v>
      </c>
      <c r="H11" s="85">
        <v>0</v>
      </c>
      <c r="I11" s="82">
        <v>0</v>
      </c>
      <c r="J11" s="85">
        <f t="shared" si="0"/>
        <v>46699.845999999998</v>
      </c>
      <c r="K11" s="85">
        <f t="shared" si="1"/>
        <v>5450136.101999999</v>
      </c>
      <c r="L11" s="10" t="s">
        <v>15</v>
      </c>
    </row>
    <row r="12" spans="1:14" s="313" customFormat="1" ht="15" customHeight="1" x14ac:dyDescent="0.25">
      <c r="A12" s="478" t="s">
        <v>358</v>
      </c>
      <c r="B12" s="768">
        <v>10327.492</v>
      </c>
      <c r="C12" s="479">
        <f>B12*143</f>
        <v>1476831.3559999999</v>
      </c>
      <c r="D12" s="507">
        <v>519.89400000000001</v>
      </c>
      <c r="E12" s="507">
        <f>D12*154</f>
        <v>80063.676000000007</v>
      </c>
      <c r="F12" s="507">
        <v>0</v>
      </c>
      <c r="G12" s="507">
        <v>0</v>
      </c>
      <c r="H12" s="479">
        <v>0</v>
      </c>
      <c r="I12" s="480">
        <v>0</v>
      </c>
      <c r="J12" s="479">
        <f t="shared" si="0"/>
        <v>10847.386</v>
      </c>
      <c r="K12" s="479">
        <f t="shared" si="1"/>
        <v>1556895.0319999999</v>
      </c>
      <c r="L12" s="483" t="s">
        <v>359</v>
      </c>
    </row>
    <row r="13" spans="1:14" s="313" customFormat="1" ht="18" customHeight="1" x14ac:dyDescent="0.25">
      <c r="A13" s="673" t="s">
        <v>4</v>
      </c>
      <c r="B13" s="769">
        <v>219113.383</v>
      </c>
      <c r="C13" s="85">
        <v>33524264.32</v>
      </c>
      <c r="D13" s="181">
        <v>3000.134</v>
      </c>
      <c r="E13" s="181">
        <f>D13*154</f>
        <v>462020.636</v>
      </c>
      <c r="F13" s="181">
        <v>6170.6580000000004</v>
      </c>
      <c r="G13" s="181">
        <v>1055187.8089999999</v>
      </c>
      <c r="H13" s="85">
        <v>23.603000000000002</v>
      </c>
      <c r="I13" s="82">
        <v>48196.55</v>
      </c>
      <c r="J13" s="85">
        <f t="shared" si="0"/>
        <v>228307.77799999999</v>
      </c>
      <c r="K13" s="85">
        <f t="shared" si="1"/>
        <v>35089669.314999998</v>
      </c>
      <c r="L13" s="10" t="s">
        <v>16</v>
      </c>
    </row>
    <row r="14" spans="1:14" s="313" customFormat="1" ht="18.75" customHeight="1" x14ac:dyDescent="0.25">
      <c r="A14" s="478" t="s">
        <v>5</v>
      </c>
      <c r="B14" s="768">
        <v>31181.142</v>
      </c>
      <c r="C14" s="479">
        <v>3772896.2349999999</v>
      </c>
      <c r="D14" s="507">
        <v>11422.401</v>
      </c>
      <c r="E14" s="507">
        <v>1941815.638</v>
      </c>
      <c r="F14" s="507">
        <v>15258.620999999999</v>
      </c>
      <c r="G14" s="507">
        <v>2777063.625</v>
      </c>
      <c r="H14" s="479">
        <v>0</v>
      </c>
      <c r="I14" s="480">
        <v>0</v>
      </c>
      <c r="J14" s="479">
        <f t="shared" si="0"/>
        <v>57862.163999999997</v>
      </c>
      <c r="K14" s="479">
        <f t="shared" si="1"/>
        <v>8491775.4979999997</v>
      </c>
      <c r="L14" s="483" t="s">
        <v>23</v>
      </c>
    </row>
    <row r="15" spans="1:14" s="313" customFormat="1" ht="20.25" customHeight="1" x14ac:dyDescent="0.25">
      <c r="A15" s="673" t="s">
        <v>6</v>
      </c>
      <c r="B15" s="769">
        <v>22978.91</v>
      </c>
      <c r="C15" s="85">
        <v>2803425.6290000002</v>
      </c>
      <c r="D15" s="181">
        <v>11.180999999999999</v>
      </c>
      <c r="E15" s="181">
        <f>D15*154</f>
        <v>1721.8739999999998</v>
      </c>
      <c r="F15" s="181">
        <v>350.39400000000001</v>
      </c>
      <c r="G15" s="181">
        <v>65872.067999999999</v>
      </c>
      <c r="H15" s="85">
        <v>0</v>
      </c>
      <c r="I15" s="82">
        <v>0</v>
      </c>
      <c r="J15" s="85">
        <f t="shared" si="0"/>
        <v>23340.485000000001</v>
      </c>
      <c r="K15" s="85">
        <f t="shared" si="1"/>
        <v>2871019.571</v>
      </c>
      <c r="L15" s="10" t="s">
        <v>24</v>
      </c>
    </row>
    <row r="16" spans="1:14" s="313" customFormat="1" ht="18.75" customHeight="1" x14ac:dyDescent="0.25">
      <c r="A16" s="478" t="s">
        <v>11</v>
      </c>
      <c r="B16" s="768">
        <v>20423.138999999999</v>
      </c>
      <c r="C16" s="479">
        <v>2593713.284</v>
      </c>
      <c r="D16" s="507">
        <v>669.85699999999997</v>
      </c>
      <c r="E16" s="507">
        <f>D16*154</f>
        <v>103157.978</v>
      </c>
      <c r="F16" s="507">
        <v>0</v>
      </c>
      <c r="G16" s="507">
        <v>0</v>
      </c>
      <c r="H16" s="479">
        <v>0</v>
      </c>
      <c r="I16" s="480">
        <v>0</v>
      </c>
      <c r="J16" s="479">
        <f t="shared" si="0"/>
        <v>21092.995999999999</v>
      </c>
      <c r="K16" s="479">
        <f t="shared" si="1"/>
        <v>2696871.2620000001</v>
      </c>
      <c r="L16" s="483" t="s">
        <v>21</v>
      </c>
    </row>
    <row r="17" spans="1:16" s="313" customFormat="1" ht="21" customHeight="1" x14ac:dyDescent="0.25">
      <c r="A17" s="673" t="s">
        <v>2</v>
      </c>
      <c r="B17" s="769">
        <v>15222.641</v>
      </c>
      <c r="C17" s="85">
        <f>B17*143</f>
        <v>2176837.6630000002</v>
      </c>
      <c r="D17" s="181">
        <v>11027.308999999999</v>
      </c>
      <c r="E17" s="181">
        <v>2128266.753</v>
      </c>
      <c r="F17" s="181">
        <v>10963.43</v>
      </c>
      <c r="G17" s="181">
        <v>2006301.0319999999</v>
      </c>
      <c r="H17" s="85">
        <v>0</v>
      </c>
      <c r="I17" s="82">
        <v>0</v>
      </c>
      <c r="J17" s="85">
        <f t="shared" si="0"/>
        <v>37213.379999999997</v>
      </c>
      <c r="K17" s="85">
        <f t="shared" si="1"/>
        <v>6311405.4479999999</v>
      </c>
      <c r="L17" s="10" t="s">
        <v>14</v>
      </c>
    </row>
    <row r="18" spans="1:16" s="313" customFormat="1" ht="20.25" customHeight="1" x14ac:dyDescent="0.25">
      <c r="A18" s="478" t="s">
        <v>7</v>
      </c>
      <c r="B18" s="768">
        <v>36228.112000000001</v>
      </c>
      <c r="C18" s="479">
        <v>5832662.5860000001</v>
      </c>
      <c r="D18" s="507">
        <v>0</v>
      </c>
      <c r="E18" s="507">
        <v>0</v>
      </c>
      <c r="F18" s="507">
        <v>86.099000000000004</v>
      </c>
      <c r="G18" s="507">
        <v>16186.811</v>
      </c>
      <c r="H18" s="479">
        <v>0</v>
      </c>
      <c r="I18" s="480">
        <v>0</v>
      </c>
      <c r="J18" s="479">
        <f t="shared" si="0"/>
        <v>36314.211000000003</v>
      </c>
      <c r="K18" s="479">
        <f t="shared" si="1"/>
        <v>5848849.3969999999</v>
      </c>
      <c r="L18" s="483" t="s">
        <v>17</v>
      </c>
    </row>
    <row r="19" spans="1:16" s="313" customFormat="1" ht="21" customHeight="1" x14ac:dyDescent="0.25">
      <c r="A19" s="673" t="s">
        <v>8</v>
      </c>
      <c r="B19" s="769">
        <v>27488.204000000002</v>
      </c>
      <c r="C19" s="85">
        <v>2968702.7659999998</v>
      </c>
      <c r="D19" s="181">
        <v>0</v>
      </c>
      <c r="E19" s="181">
        <v>0</v>
      </c>
      <c r="F19" s="181">
        <v>0</v>
      </c>
      <c r="G19" s="181">
        <v>0</v>
      </c>
      <c r="H19" s="85">
        <v>0</v>
      </c>
      <c r="I19" s="82">
        <v>0</v>
      </c>
      <c r="J19" s="85">
        <f t="shared" si="0"/>
        <v>27488.204000000002</v>
      </c>
      <c r="K19" s="85">
        <f t="shared" si="1"/>
        <v>2968702.7659999998</v>
      </c>
      <c r="L19" s="10" t="s">
        <v>18</v>
      </c>
    </row>
    <row r="20" spans="1:16" s="313" customFormat="1" ht="21.75" customHeight="1" x14ac:dyDescent="0.25">
      <c r="A20" s="478" t="s">
        <v>9</v>
      </c>
      <c r="B20" s="768">
        <v>16950.25</v>
      </c>
      <c r="C20" s="479">
        <v>1610264.774</v>
      </c>
      <c r="D20" s="507">
        <v>129.07</v>
      </c>
      <c r="E20" s="507">
        <f>D20*154</f>
        <v>19876.78</v>
      </c>
      <c r="F20" s="507">
        <v>286.77699999999999</v>
      </c>
      <c r="G20" s="507">
        <v>45884.692999999999</v>
      </c>
      <c r="H20" s="479">
        <v>0</v>
      </c>
      <c r="I20" s="480">
        <v>0</v>
      </c>
      <c r="J20" s="479">
        <f t="shared" si="0"/>
        <v>17366.096999999998</v>
      </c>
      <c r="K20" s="479">
        <f t="shared" si="1"/>
        <v>1676026.247</v>
      </c>
      <c r="L20" s="483" t="s">
        <v>19</v>
      </c>
    </row>
    <row r="21" spans="1:16" s="313" customFormat="1" ht="18.75" customHeight="1" x14ac:dyDescent="0.25">
      <c r="A21" s="673" t="s">
        <v>10</v>
      </c>
      <c r="B21" s="769">
        <v>35655.103999999999</v>
      </c>
      <c r="C21" s="85">
        <v>4029048.429</v>
      </c>
      <c r="D21" s="181">
        <v>13160.554</v>
      </c>
      <c r="E21" s="181">
        <v>1316038.7919999999</v>
      </c>
      <c r="F21" s="181">
        <v>19885.202000000001</v>
      </c>
      <c r="G21" s="181">
        <v>2644755.236</v>
      </c>
      <c r="H21" s="85">
        <v>0</v>
      </c>
      <c r="I21" s="82">
        <v>0</v>
      </c>
      <c r="J21" s="85">
        <f t="shared" si="0"/>
        <v>68700.86</v>
      </c>
      <c r="K21" s="85">
        <f t="shared" si="1"/>
        <v>7989842.4570000004</v>
      </c>
      <c r="L21" s="10" t="s">
        <v>20</v>
      </c>
    </row>
    <row r="22" spans="1:16" s="313" customFormat="1" ht="22.5" customHeight="1" x14ac:dyDescent="0.25">
      <c r="A22" s="478" t="s">
        <v>12</v>
      </c>
      <c r="B22" s="768">
        <v>9172.18</v>
      </c>
      <c r="C22" s="479">
        <v>944727.95799999998</v>
      </c>
      <c r="D22" s="507">
        <v>0</v>
      </c>
      <c r="E22" s="507">
        <v>0</v>
      </c>
      <c r="F22" s="507">
        <v>0</v>
      </c>
      <c r="G22" s="507">
        <v>0</v>
      </c>
      <c r="H22" s="479">
        <v>0</v>
      </c>
      <c r="I22" s="480">
        <v>0</v>
      </c>
      <c r="J22" s="479">
        <f t="shared" si="0"/>
        <v>9172.18</v>
      </c>
      <c r="K22" s="479">
        <f t="shared" si="1"/>
        <v>944727.95799999998</v>
      </c>
      <c r="L22" s="483" t="s">
        <v>25</v>
      </c>
    </row>
    <row r="23" spans="1:16" s="313" customFormat="1" ht="15" customHeight="1" thickBot="1" x14ac:dyDescent="0.3">
      <c r="A23" s="673" t="s">
        <v>13</v>
      </c>
      <c r="B23" s="769">
        <v>39613.160000000003</v>
      </c>
      <c r="C23" s="85">
        <v>6615367.9570000004</v>
      </c>
      <c r="D23" s="181">
        <v>0</v>
      </c>
      <c r="E23" s="181">
        <v>0</v>
      </c>
      <c r="F23" s="181">
        <v>7155.5039999999999</v>
      </c>
      <c r="G23" s="181">
        <v>1209302.74</v>
      </c>
      <c r="H23" s="85">
        <v>0</v>
      </c>
      <c r="I23" s="82">
        <v>0</v>
      </c>
      <c r="J23" s="85">
        <f t="shared" si="0"/>
        <v>46768.664000000004</v>
      </c>
      <c r="K23" s="85">
        <f t="shared" si="1"/>
        <v>7824670.6970000006</v>
      </c>
      <c r="L23" s="10" t="s">
        <v>22</v>
      </c>
    </row>
    <row r="24" spans="1:16" s="532" customFormat="1" ht="16.5" customHeight="1" thickBot="1" x14ac:dyDescent="0.3">
      <c r="A24" s="529" t="s">
        <v>0</v>
      </c>
      <c r="B24" s="770">
        <v>532393.80000000005</v>
      </c>
      <c r="C24" s="770">
        <f>SUM(C9:C23)</f>
        <v>75082009.645000011</v>
      </c>
      <c r="D24" s="530">
        <v>53359.725999999995</v>
      </c>
      <c r="E24" s="530">
        <f>SUM(E9:E23)</f>
        <v>8119538.3310000002</v>
      </c>
      <c r="F24" s="530">
        <v>60825.196000000011</v>
      </c>
      <c r="G24" s="530">
        <v>9942890.9260000009</v>
      </c>
      <c r="H24" s="770">
        <v>23.603000000000002</v>
      </c>
      <c r="I24" s="771">
        <f>SUM(I9:I23)</f>
        <v>48196.55</v>
      </c>
      <c r="J24" s="770">
        <f>SUM(J9:J23)</f>
        <v>646602.32500000007</v>
      </c>
      <c r="K24" s="770">
        <f>SUM(K9:K23)</f>
        <v>93192635.451999992</v>
      </c>
      <c r="L24" s="531" t="s">
        <v>1</v>
      </c>
    </row>
    <row r="25" spans="1:16" s="7" customFormat="1" ht="24" customHeight="1" thickTop="1" x14ac:dyDescent="0.2">
      <c r="A25" s="889"/>
      <c r="B25" s="889"/>
      <c r="C25" s="889"/>
      <c r="D25" s="889"/>
      <c r="E25" s="889"/>
      <c r="F25" s="889"/>
      <c r="G25" s="347"/>
      <c r="H25" s="347"/>
      <c r="I25" s="84"/>
      <c r="J25" s="84"/>
      <c r="K25" s="84"/>
      <c r="L25" s="275"/>
    </row>
    <row r="26" spans="1:16" ht="14.25" x14ac:dyDescent="0.2">
      <c r="C26" s="8"/>
      <c r="D26" s="8"/>
      <c r="E26" s="204"/>
      <c r="F26" s="8"/>
      <c r="G26" s="8"/>
      <c r="H26" s="8"/>
      <c r="L26" s="197"/>
    </row>
    <row r="27" spans="1:16" ht="18" customHeight="1" x14ac:dyDescent="0.25">
      <c r="A27" s="282"/>
      <c r="B27" s="282"/>
      <c r="J27" s="184"/>
      <c r="K27" s="77"/>
      <c r="L27" s="276"/>
      <c r="P27" s="6"/>
    </row>
  </sheetData>
  <mergeCells count="6">
    <mergeCell ref="A4:B4"/>
    <mergeCell ref="A1:F1"/>
    <mergeCell ref="A25:F25"/>
    <mergeCell ref="J5:K5"/>
    <mergeCell ref="J6:K6"/>
    <mergeCell ref="A2:H2"/>
  </mergeCells>
  <phoneticPr fontId="3" type="noConversion"/>
  <printOptions horizontalCentered="1" verticalCentered="1"/>
  <pageMargins left="0.2" right="0.2" top="1.0208333333333333E-2" bottom="0.98425196850393704" header="0.78740157480314998" footer="0.511811023622047"/>
  <pageSetup scale="98" orientation="landscape" verticalDpi="300" r:id="rId1"/>
  <headerFooter alignWithMargins="0">
    <oddFooter>&amp;C25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26"/>
  <sheetViews>
    <sheetView rightToLeft="1" zoomScale="93" zoomScaleNormal="93" zoomScaleSheetLayoutView="100" workbookViewId="0">
      <selection activeCell="H13" sqref="H13"/>
    </sheetView>
  </sheetViews>
  <sheetFormatPr defaultRowHeight="12.75" x14ac:dyDescent="0.2"/>
  <cols>
    <col min="1" max="1" width="8.140625" customWidth="1"/>
    <col min="2" max="2" width="10.28515625" customWidth="1"/>
    <col min="3" max="3" width="14.5703125" customWidth="1"/>
    <col min="4" max="4" width="9.42578125" customWidth="1"/>
    <col min="5" max="5" width="17.140625" customWidth="1"/>
    <col min="7" max="7" width="12.7109375" customWidth="1"/>
    <col min="8" max="8" width="9" customWidth="1"/>
    <col min="9" max="9" width="15.140625" customWidth="1"/>
    <col min="10" max="10" width="15" customWidth="1"/>
  </cols>
  <sheetData>
    <row r="1" spans="1:10" ht="15" x14ac:dyDescent="0.2">
      <c r="A1" s="850" t="s">
        <v>469</v>
      </c>
      <c r="B1" s="850"/>
      <c r="C1" s="850"/>
      <c r="D1" s="850"/>
      <c r="E1" s="850"/>
      <c r="F1" s="850"/>
      <c r="G1" s="850"/>
      <c r="H1" s="850"/>
      <c r="I1" s="850"/>
      <c r="J1" s="850"/>
    </row>
    <row r="2" spans="1:10" ht="13.5" customHeight="1" x14ac:dyDescent="0.2">
      <c r="A2" s="894" t="s">
        <v>470</v>
      </c>
      <c r="B2" s="894"/>
      <c r="C2" s="894"/>
      <c r="D2" s="894"/>
      <c r="E2" s="894"/>
      <c r="F2" s="894"/>
      <c r="G2" s="894"/>
      <c r="H2" s="894"/>
      <c r="I2" s="894"/>
      <c r="J2" s="236" t="s">
        <v>320</v>
      </c>
    </row>
    <row r="3" spans="1:10" ht="15.75" customHeight="1" x14ac:dyDescent="0.25">
      <c r="A3" s="40"/>
      <c r="B3" s="40"/>
      <c r="C3" s="40"/>
      <c r="D3" s="40"/>
      <c r="E3" s="40"/>
      <c r="F3" s="40"/>
      <c r="G3" s="40"/>
      <c r="H3" s="40"/>
      <c r="J3" s="235" t="s">
        <v>215</v>
      </c>
    </row>
    <row r="4" spans="1:10" ht="15" customHeight="1" thickBot="1" x14ac:dyDescent="0.3">
      <c r="A4" s="859" t="s">
        <v>414</v>
      </c>
      <c r="B4" s="859"/>
      <c r="C4" s="33" t="s">
        <v>179</v>
      </c>
      <c r="D4" s="24"/>
      <c r="E4" s="24"/>
      <c r="F4" s="19"/>
      <c r="G4" s="856" t="s">
        <v>333</v>
      </c>
      <c r="H4" s="856"/>
      <c r="I4" s="856" t="s">
        <v>334</v>
      </c>
      <c r="J4" s="856"/>
    </row>
    <row r="5" spans="1:10" ht="15" customHeight="1" x14ac:dyDescent="0.25">
      <c r="A5" s="350"/>
      <c r="B5" s="851" t="s">
        <v>222</v>
      </c>
      <c r="C5" s="851"/>
      <c r="D5" s="851" t="s">
        <v>223</v>
      </c>
      <c r="E5" s="851"/>
      <c r="F5" s="851" t="s">
        <v>224</v>
      </c>
      <c r="G5" s="851"/>
      <c r="H5" s="851" t="s">
        <v>226</v>
      </c>
      <c r="I5" s="851"/>
      <c r="J5" s="38"/>
    </row>
    <row r="6" spans="1:10" s="161" customFormat="1" ht="15" customHeight="1" x14ac:dyDescent="0.25">
      <c r="A6" s="370"/>
      <c r="B6" s="893" t="s">
        <v>314</v>
      </c>
      <c r="C6" s="893"/>
      <c r="D6" s="893" t="s">
        <v>234</v>
      </c>
      <c r="E6" s="893"/>
      <c r="F6" s="893" t="s">
        <v>225</v>
      </c>
      <c r="G6" s="893"/>
      <c r="H6" s="357" t="s">
        <v>227</v>
      </c>
      <c r="I6" s="357"/>
      <c r="J6" s="357"/>
    </row>
    <row r="7" spans="1:10" s="161" customFormat="1" ht="15" customHeight="1" x14ac:dyDescent="0.25">
      <c r="A7" s="351"/>
      <c r="B7" s="344" t="s">
        <v>67</v>
      </c>
      <c r="C7" s="344" t="s">
        <v>238</v>
      </c>
      <c r="D7" s="344" t="s">
        <v>67</v>
      </c>
      <c r="E7" s="344" t="s">
        <v>238</v>
      </c>
      <c r="F7" s="344" t="s">
        <v>67</v>
      </c>
      <c r="G7" s="344" t="s">
        <v>238</v>
      </c>
      <c r="H7" s="344" t="s">
        <v>67</v>
      </c>
      <c r="I7" s="344" t="s">
        <v>238</v>
      </c>
      <c r="J7" s="71"/>
    </row>
    <row r="8" spans="1:10" s="367" customFormat="1" ht="15" customHeight="1" thickBot="1" x14ac:dyDescent="0.25">
      <c r="A8" s="364" t="s">
        <v>50</v>
      </c>
      <c r="B8" s="365" t="s">
        <v>133</v>
      </c>
      <c r="C8" s="365" t="s">
        <v>29</v>
      </c>
      <c r="D8" s="365" t="s">
        <v>133</v>
      </c>
      <c r="E8" s="365" t="s">
        <v>29</v>
      </c>
      <c r="F8" s="365" t="s">
        <v>133</v>
      </c>
      <c r="G8" s="365" t="s">
        <v>29</v>
      </c>
      <c r="H8" s="365" t="s">
        <v>133</v>
      </c>
      <c r="I8" s="365" t="s">
        <v>29</v>
      </c>
      <c r="J8" s="366" t="s">
        <v>26</v>
      </c>
    </row>
    <row r="9" spans="1:10" s="485" customFormat="1" ht="15.6" customHeight="1" x14ac:dyDescent="0.25">
      <c r="A9" s="673" t="s">
        <v>380</v>
      </c>
      <c r="B9" s="85">
        <v>28.585000000000001</v>
      </c>
      <c r="C9" s="82">
        <v>13690.772000000001</v>
      </c>
      <c r="D9" s="85">
        <v>1096.528</v>
      </c>
      <c r="E9" s="813">
        <v>446291.321</v>
      </c>
      <c r="F9" s="85">
        <v>257.40300000000002</v>
      </c>
      <c r="G9" s="82">
        <v>93695.45</v>
      </c>
      <c r="H9" s="85">
        <f>B9+D9+F9</f>
        <v>1382.5160000000001</v>
      </c>
      <c r="I9" s="82">
        <f>C9+E9+G9</f>
        <v>553677.54299999995</v>
      </c>
      <c r="J9" s="647" t="s">
        <v>381</v>
      </c>
    </row>
    <row r="10" spans="1:10" s="313" customFormat="1" ht="15.6" customHeight="1" x14ac:dyDescent="0.25">
      <c r="A10" s="478" t="s">
        <v>30</v>
      </c>
      <c r="B10" s="479">
        <v>145.69399999999999</v>
      </c>
      <c r="C10" s="480">
        <v>60189.777000000002</v>
      </c>
      <c r="D10" s="479">
        <v>2585.2269999999999</v>
      </c>
      <c r="E10" s="814">
        <v>938424.64500000002</v>
      </c>
      <c r="F10" s="479">
        <v>1406.0630000000001</v>
      </c>
      <c r="G10" s="480">
        <v>456996.717</v>
      </c>
      <c r="H10" s="479">
        <f t="shared" ref="H10:H23" si="0">B10+D10+F10</f>
        <v>4136.9840000000004</v>
      </c>
      <c r="I10" s="480">
        <f t="shared" ref="I10:I23" si="1">C10+E10+G10</f>
        <v>1455611.139</v>
      </c>
      <c r="J10" s="487" t="s">
        <v>31</v>
      </c>
    </row>
    <row r="11" spans="1:10" s="313" customFormat="1" ht="15.6" customHeight="1" x14ac:dyDescent="0.25">
      <c r="A11" s="695" t="s">
        <v>3</v>
      </c>
      <c r="B11" s="85">
        <v>1835.7729999999999</v>
      </c>
      <c r="C11" s="82">
        <v>971176.83</v>
      </c>
      <c r="D11" s="85">
        <v>1960.9780000000001</v>
      </c>
      <c r="E11" s="813">
        <v>927529.90800000005</v>
      </c>
      <c r="F11" s="85">
        <v>0</v>
      </c>
      <c r="G11" s="82">
        <v>0</v>
      </c>
      <c r="H11" s="85">
        <f t="shared" si="0"/>
        <v>3796.7510000000002</v>
      </c>
      <c r="I11" s="82">
        <f t="shared" si="1"/>
        <v>1898706.7379999999</v>
      </c>
      <c r="J11" s="10" t="s">
        <v>15</v>
      </c>
    </row>
    <row r="12" spans="1:10" s="313" customFormat="1" ht="15.6" customHeight="1" x14ac:dyDescent="0.25">
      <c r="A12" s="478" t="s">
        <v>365</v>
      </c>
      <c r="B12" s="479">
        <v>366.80500000000001</v>
      </c>
      <c r="C12" s="480">
        <v>260784.79399999999</v>
      </c>
      <c r="D12" s="479">
        <v>238.357</v>
      </c>
      <c r="E12" s="814">
        <v>152552.45600000001</v>
      </c>
      <c r="F12" s="479">
        <v>0</v>
      </c>
      <c r="G12" s="480">
        <v>0</v>
      </c>
      <c r="H12" s="479">
        <f t="shared" si="0"/>
        <v>605.16200000000003</v>
      </c>
      <c r="I12" s="480">
        <f t="shared" si="1"/>
        <v>413337.25</v>
      </c>
      <c r="J12" s="483" t="s">
        <v>359</v>
      </c>
    </row>
    <row r="13" spans="1:10" s="313" customFormat="1" ht="15.6" customHeight="1" x14ac:dyDescent="0.25">
      <c r="A13" s="695" t="s">
        <v>4</v>
      </c>
      <c r="B13" s="85">
        <v>435.10300000000001</v>
      </c>
      <c r="C13" s="82">
        <v>424239.32</v>
      </c>
      <c r="D13" s="85">
        <v>4105.5519999999997</v>
      </c>
      <c r="E13" s="813">
        <v>2270279.5019999999</v>
      </c>
      <c r="F13" s="85">
        <v>2.859</v>
      </c>
      <c r="G13" s="82">
        <v>1337.838</v>
      </c>
      <c r="H13" s="85">
        <f t="shared" si="0"/>
        <v>4543.5140000000001</v>
      </c>
      <c r="I13" s="82">
        <f t="shared" si="1"/>
        <v>2695856.6599999997</v>
      </c>
      <c r="J13" s="647" t="s">
        <v>16</v>
      </c>
    </row>
    <row r="14" spans="1:10" s="313" customFormat="1" ht="15.6" customHeight="1" x14ac:dyDescent="0.25">
      <c r="A14" s="486" t="s">
        <v>5</v>
      </c>
      <c r="B14" s="479">
        <v>1006.494</v>
      </c>
      <c r="C14" s="480">
        <v>784061.05500000005</v>
      </c>
      <c r="D14" s="479">
        <v>29.542000000000002</v>
      </c>
      <c r="E14" s="814">
        <v>16012.368</v>
      </c>
      <c r="F14" s="479">
        <v>1300.528</v>
      </c>
      <c r="G14" s="480">
        <v>574848.745</v>
      </c>
      <c r="H14" s="479">
        <f t="shared" si="0"/>
        <v>2336.5640000000003</v>
      </c>
      <c r="I14" s="480">
        <f t="shared" si="1"/>
        <v>1374922.1680000001</v>
      </c>
      <c r="J14" s="487" t="s">
        <v>23</v>
      </c>
    </row>
    <row r="15" spans="1:10" s="313" customFormat="1" ht="15.6" customHeight="1" x14ac:dyDescent="0.25">
      <c r="A15" s="695" t="s">
        <v>6</v>
      </c>
      <c r="B15" s="85">
        <v>500.69799999999998</v>
      </c>
      <c r="C15" s="82">
        <v>398510.29800000001</v>
      </c>
      <c r="D15" s="85">
        <v>182.059</v>
      </c>
      <c r="E15" s="813">
        <v>110692.031</v>
      </c>
      <c r="F15" s="85">
        <v>1.3420000000000001</v>
      </c>
      <c r="G15" s="82">
        <f>F15*400</f>
        <v>536.80000000000007</v>
      </c>
      <c r="H15" s="85">
        <f t="shared" si="0"/>
        <v>684.09899999999993</v>
      </c>
      <c r="I15" s="82">
        <f t="shared" si="1"/>
        <v>509739.12900000002</v>
      </c>
      <c r="J15" s="647" t="s">
        <v>24</v>
      </c>
    </row>
    <row r="16" spans="1:10" s="313" customFormat="1" ht="15.6" customHeight="1" x14ac:dyDescent="0.25">
      <c r="A16" s="486" t="s">
        <v>11</v>
      </c>
      <c r="B16" s="479">
        <v>250.43</v>
      </c>
      <c r="C16" s="480">
        <v>162807.258</v>
      </c>
      <c r="D16" s="479">
        <v>410.887</v>
      </c>
      <c r="E16" s="814">
        <v>225968.484</v>
      </c>
      <c r="F16" s="479">
        <v>6.4089999999999998</v>
      </c>
      <c r="G16" s="480">
        <f>F16*400</f>
        <v>2563.6</v>
      </c>
      <c r="H16" s="479">
        <f t="shared" si="0"/>
        <v>667.726</v>
      </c>
      <c r="I16" s="480">
        <f t="shared" si="1"/>
        <v>391339.34199999995</v>
      </c>
      <c r="J16" s="487" t="s">
        <v>21</v>
      </c>
    </row>
    <row r="17" spans="1:10" s="313" customFormat="1" ht="15.6" customHeight="1" x14ac:dyDescent="0.25">
      <c r="A17" s="695" t="s">
        <v>2</v>
      </c>
      <c r="B17" s="85">
        <v>733.16700000000003</v>
      </c>
      <c r="C17" s="82">
        <v>361445.533</v>
      </c>
      <c r="D17" s="85">
        <v>748.20500000000004</v>
      </c>
      <c r="E17" s="813">
        <v>349416.95400000003</v>
      </c>
      <c r="F17" s="85">
        <v>769.822</v>
      </c>
      <c r="G17" s="82">
        <v>315628.223</v>
      </c>
      <c r="H17" s="85">
        <f t="shared" si="0"/>
        <v>2251.194</v>
      </c>
      <c r="I17" s="82">
        <f t="shared" si="1"/>
        <v>1026490.71</v>
      </c>
      <c r="J17" s="647" t="s">
        <v>14</v>
      </c>
    </row>
    <row r="18" spans="1:10" s="313" customFormat="1" ht="15.6" customHeight="1" x14ac:dyDescent="0.25">
      <c r="A18" s="486" t="s">
        <v>7</v>
      </c>
      <c r="B18" s="479">
        <v>154.155</v>
      </c>
      <c r="C18" s="480">
        <v>99584.176999999996</v>
      </c>
      <c r="D18" s="479">
        <v>242.501</v>
      </c>
      <c r="E18" s="814">
        <v>159321.899</v>
      </c>
      <c r="F18" s="479">
        <v>0</v>
      </c>
      <c r="G18" s="480">
        <v>0</v>
      </c>
      <c r="H18" s="479">
        <f t="shared" si="0"/>
        <v>396.65600000000001</v>
      </c>
      <c r="I18" s="480">
        <f t="shared" si="1"/>
        <v>258906.076</v>
      </c>
      <c r="J18" s="487" t="s">
        <v>17</v>
      </c>
    </row>
    <row r="19" spans="1:10" s="313" customFormat="1" ht="15.6" customHeight="1" x14ac:dyDescent="0.25">
      <c r="A19" s="695" t="s">
        <v>8</v>
      </c>
      <c r="B19" s="85">
        <v>12.067</v>
      </c>
      <c r="C19" s="82">
        <v>7240</v>
      </c>
      <c r="D19" s="85">
        <v>481.10899999999998</v>
      </c>
      <c r="E19" s="813">
        <v>240553.783</v>
      </c>
      <c r="F19" s="85">
        <v>0</v>
      </c>
      <c r="G19" s="82">
        <v>0</v>
      </c>
      <c r="H19" s="85">
        <f t="shared" si="0"/>
        <v>493.17599999999999</v>
      </c>
      <c r="I19" s="82">
        <f t="shared" si="1"/>
        <v>247793.783</v>
      </c>
      <c r="J19" s="647" t="s">
        <v>18</v>
      </c>
    </row>
    <row r="20" spans="1:10" s="313" customFormat="1" ht="15.6" customHeight="1" x14ac:dyDescent="0.25">
      <c r="A20" s="486" t="s">
        <v>9</v>
      </c>
      <c r="B20" s="479">
        <v>134.37</v>
      </c>
      <c r="C20" s="480">
        <v>73633.505000000005</v>
      </c>
      <c r="D20" s="479">
        <v>20.97</v>
      </c>
      <c r="E20" s="814">
        <v>9436.1119999999992</v>
      </c>
      <c r="F20" s="479">
        <v>18.233000000000001</v>
      </c>
      <c r="G20" s="480">
        <v>0</v>
      </c>
      <c r="H20" s="479">
        <f t="shared" si="0"/>
        <v>173.57300000000001</v>
      </c>
      <c r="I20" s="480">
        <f t="shared" si="1"/>
        <v>83069.616999999998</v>
      </c>
      <c r="J20" s="487" t="s">
        <v>19</v>
      </c>
    </row>
    <row r="21" spans="1:10" s="313" customFormat="1" ht="15.6" customHeight="1" x14ac:dyDescent="0.25">
      <c r="A21" s="695" t="s">
        <v>10</v>
      </c>
      <c r="B21" s="85">
        <v>5993.9750000000004</v>
      </c>
      <c r="C21" s="82">
        <v>4045929.085</v>
      </c>
      <c r="D21" s="85">
        <v>1149.52</v>
      </c>
      <c r="E21" s="813">
        <v>637993.02</v>
      </c>
      <c r="F21" s="85">
        <v>1261.152</v>
      </c>
      <c r="G21" s="82">
        <v>571305.76599999995</v>
      </c>
      <c r="H21" s="85">
        <f t="shared" si="0"/>
        <v>8404.6470000000008</v>
      </c>
      <c r="I21" s="82">
        <f t="shared" si="1"/>
        <v>5255227.8710000003</v>
      </c>
      <c r="J21" s="647" t="s">
        <v>20</v>
      </c>
    </row>
    <row r="22" spans="1:10" s="313" customFormat="1" ht="15.6" customHeight="1" x14ac:dyDescent="0.25">
      <c r="A22" s="486" t="s">
        <v>12</v>
      </c>
      <c r="B22" s="479">
        <v>0</v>
      </c>
      <c r="C22" s="480">
        <v>0</v>
      </c>
      <c r="D22" s="479">
        <v>0.10900000000000001</v>
      </c>
      <c r="E22" s="814">
        <v>0</v>
      </c>
      <c r="F22" s="479">
        <v>19.125</v>
      </c>
      <c r="G22" s="480">
        <v>5740.66</v>
      </c>
      <c r="H22" s="479">
        <f t="shared" si="0"/>
        <v>19.234000000000002</v>
      </c>
      <c r="I22" s="480">
        <f t="shared" si="1"/>
        <v>5740.66</v>
      </c>
      <c r="J22" s="487" t="s">
        <v>25</v>
      </c>
    </row>
    <row r="23" spans="1:10" s="313" customFormat="1" ht="15.6" customHeight="1" thickBot="1" x14ac:dyDescent="0.3">
      <c r="A23" s="695" t="s">
        <v>13</v>
      </c>
      <c r="B23" s="85">
        <v>1574.1769999999999</v>
      </c>
      <c r="C23" s="82">
        <v>1416757.084</v>
      </c>
      <c r="D23" s="85">
        <v>2715.971</v>
      </c>
      <c r="E23" s="813">
        <v>2093973.233</v>
      </c>
      <c r="F23" s="85">
        <v>3267.857</v>
      </c>
      <c r="G23" s="82">
        <f>F23*400</f>
        <v>1307142.8</v>
      </c>
      <c r="H23" s="85">
        <f t="shared" si="0"/>
        <v>7558.0050000000001</v>
      </c>
      <c r="I23" s="82">
        <f t="shared" si="1"/>
        <v>4817873.1169999996</v>
      </c>
      <c r="J23" s="647" t="s">
        <v>22</v>
      </c>
    </row>
    <row r="24" spans="1:10" s="537" customFormat="1" ht="15" customHeight="1" thickBot="1" x14ac:dyDescent="0.3">
      <c r="A24" s="533" t="s">
        <v>0</v>
      </c>
      <c r="B24" s="534">
        <f t="shared" ref="B24:I24" si="2">SUM(B9:B23)</f>
        <v>13171.493</v>
      </c>
      <c r="C24" s="534">
        <f t="shared" si="2"/>
        <v>9080049.4879999999</v>
      </c>
      <c r="D24" s="534">
        <f t="shared" si="2"/>
        <v>15967.514999999999</v>
      </c>
      <c r="E24" s="815">
        <f t="shared" si="2"/>
        <v>8578445.7160000019</v>
      </c>
      <c r="F24" s="534">
        <f t="shared" si="2"/>
        <v>8310.7930000000015</v>
      </c>
      <c r="G24" s="534">
        <f t="shared" si="2"/>
        <v>3329796.5989999999</v>
      </c>
      <c r="H24" s="534">
        <f t="shared" si="2"/>
        <v>37449.800999999999</v>
      </c>
      <c r="I24" s="535">
        <f t="shared" si="2"/>
        <v>20988291.802999999</v>
      </c>
      <c r="J24" s="536" t="s">
        <v>1</v>
      </c>
    </row>
    <row r="25" spans="1:10" ht="15" x14ac:dyDescent="0.25">
      <c r="A25" s="889"/>
      <c r="B25" s="889"/>
      <c r="C25" s="889"/>
      <c r="D25" s="889"/>
      <c r="E25" s="889"/>
      <c r="F25" s="889"/>
      <c r="G25" s="889"/>
      <c r="H25" s="889"/>
      <c r="J25" s="59"/>
    </row>
    <row r="26" spans="1:10" ht="15" customHeight="1" x14ac:dyDescent="0.2">
      <c r="I26" s="79"/>
      <c r="J26" s="57"/>
    </row>
  </sheetData>
  <mergeCells count="13">
    <mergeCell ref="B6:C6"/>
    <mergeCell ref="D6:E6"/>
    <mergeCell ref="F6:G6"/>
    <mergeCell ref="A25:H25"/>
    <mergeCell ref="A1:J1"/>
    <mergeCell ref="I4:J4"/>
    <mergeCell ref="A4:B4"/>
    <mergeCell ref="B5:C5"/>
    <mergeCell ref="D5:E5"/>
    <mergeCell ref="F5:G5"/>
    <mergeCell ref="H5:I5"/>
    <mergeCell ref="G4:H4"/>
    <mergeCell ref="A2:I2"/>
  </mergeCells>
  <phoneticPr fontId="3" type="noConversion"/>
  <printOptions horizontalCentered="1" verticalCentered="1"/>
  <pageMargins left="0.42" right="0.55000000000000004" top="0" bottom="0.98425196850393704" header="0.71" footer="0.511811023622047"/>
  <pageSetup orientation="landscape" verticalDpi="300" r:id="rId1"/>
  <headerFooter alignWithMargins="0">
    <oddFooter>&amp;C26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zoomScaleNormal="100" zoomScaleSheetLayoutView="100" workbookViewId="0">
      <selection activeCell="C39" sqref="C39"/>
    </sheetView>
  </sheetViews>
  <sheetFormatPr defaultRowHeight="12.75" x14ac:dyDescent="0.2"/>
  <cols>
    <col min="2" max="2" width="7.28515625" customWidth="1"/>
    <col min="4" max="4" width="8.140625" customWidth="1"/>
    <col min="7" max="7" width="7.7109375" customWidth="1"/>
    <col min="9" max="9" width="7.140625" customWidth="1"/>
    <col min="10" max="10" width="7.7109375" customWidth="1"/>
  </cols>
  <sheetData/>
  <phoneticPr fontId="3" type="noConversion"/>
  <pageMargins left="0.33" right="0.89" top="1" bottom="1" header="0.5" footer="0.5"/>
  <pageSetup scale="95" orientation="landscape" horizontalDpi="4294967293" verticalDpi="1200" r:id="rId1"/>
  <headerFooter alignWithMargins="0">
    <oddFooter>&amp;C27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26"/>
  <sheetViews>
    <sheetView rightToLeft="1" topLeftCell="B1" zoomScaleSheetLayoutView="100" workbookViewId="0">
      <selection activeCell="I15" sqref="I15"/>
    </sheetView>
  </sheetViews>
  <sheetFormatPr defaultRowHeight="12.75" x14ac:dyDescent="0.2"/>
  <cols>
    <col min="1" max="1" width="0.42578125" hidden="1" customWidth="1"/>
    <col min="2" max="2" width="13.140625" customWidth="1"/>
    <col min="3" max="3" width="7.28515625" customWidth="1"/>
    <col min="4" max="4" width="13.140625" customWidth="1"/>
    <col min="5" max="5" width="17.140625" customWidth="1"/>
    <col min="6" max="6" width="7" customWidth="1"/>
    <col min="7" max="7" width="9.5703125" customWidth="1"/>
    <col min="8" max="8" width="17.5703125" customWidth="1"/>
    <col min="9" max="9" width="7.28515625" customWidth="1"/>
    <col min="10" max="10" width="14.42578125" customWidth="1"/>
    <col min="11" max="11" width="14.5703125" customWidth="1"/>
    <col min="12" max="12" width="14.7109375" customWidth="1"/>
  </cols>
  <sheetData>
    <row r="1" spans="2:14" ht="43.5" customHeight="1" x14ac:dyDescent="0.2">
      <c r="B1" s="850" t="s">
        <v>438</v>
      </c>
      <c r="C1" s="850"/>
      <c r="D1" s="850"/>
      <c r="E1" s="850"/>
      <c r="F1" s="850"/>
      <c r="G1" s="850"/>
      <c r="H1" s="850"/>
      <c r="I1" s="850"/>
      <c r="J1" s="850"/>
      <c r="K1" s="850"/>
      <c r="L1" s="181" t="s">
        <v>322</v>
      </c>
    </row>
    <row r="2" spans="2:14" ht="15" customHeight="1" x14ac:dyDescent="0.25">
      <c r="B2" s="854" t="s">
        <v>439</v>
      </c>
      <c r="C2" s="854"/>
      <c r="D2" s="854"/>
      <c r="E2" s="854"/>
      <c r="F2" s="854"/>
      <c r="G2" s="854"/>
      <c r="H2" s="854"/>
      <c r="I2" s="854"/>
      <c r="J2" s="854"/>
      <c r="K2" s="854"/>
      <c r="L2" s="854"/>
    </row>
    <row r="3" spans="2:14" ht="15.75" customHeight="1" thickBot="1" x14ac:dyDescent="0.25">
      <c r="B3" s="179" t="s">
        <v>400</v>
      </c>
      <c r="C3" s="178"/>
      <c r="D3" s="178"/>
      <c r="E3" s="178"/>
      <c r="F3" s="178"/>
      <c r="G3" s="178"/>
      <c r="H3" s="178"/>
      <c r="I3" s="178"/>
      <c r="J3" s="178"/>
      <c r="L3" s="36" t="s">
        <v>85</v>
      </c>
    </row>
    <row r="4" spans="2:14" ht="18.75" customHeight="1" x14ac:dyDescent="0.2">
      <c r="B4" s="37"/>
      <c r="C4" s="851" t="s">
        <v>83</v>
      </c>
      <c r="D4" s="851"/>
      <c r="E4" s="851"/>
      <c r="F4" s="851" t="s">
        <v>84</v>
      </c>
      <c r="G4" s="851"/>
      <c r="H4" s="851"/>
      <c r="I4" s="851" t="s">
        <v>193</v>
      </c>
      <c r="J4" s="851"/>
      <c r="K4" s="851"/>
      <c r="L4" s="180"/>
      <c r="M4" s="7"/>
      <c r="N4" s="7"/>
    </row>
    <row r="5" spans="2:14" ht="14.25" customHeight="1" x14ac:dyDescent="0.25">
      <c r="B5" s="40"/>
      <c r="C5" s="853" t="s">
        <v>159</v>
      </c>
      <c r="D5" s="853"/>
      <c r="E5" s="853"/>
      <c r="F5" s="852" t="s">
        <v>306</v>
      </c>
      <c r="G5" s="852"/>
      <c r="H5" s="852"/>
      <c r="I5" s="28"/>
      <c r="J5" s="798" t="s">
        <v>1</v>
      </c>
      <c r="K5" s="28"/>
    </row>
    <row r="6" spans="2:14" ht="39" customHeight="1" x14ac:dyDescent="0.25">
      <c r="B6" s="356"/>
      <c r="C6" s="340" t="s">
        <v>27</v>
      </c>
      <c r="D6" s="340" t="s">
        <v>208</v>
      </c>
      <c r="E6" s="340" t="s">
        <v>196</v>
      </c>
      <c r="F6" s="340" t="s">
        <v>27</v>
      </c>
      <c r="G6" s="340" t="s">
        <v>208</v>
      </c>
      <c r="H6" s="340" t="s">
        <v>196</v>
      </c>
      <c r="I6" s="340" t="s">
        <v>27</v>
      </c>
      <c r="J6" s="340" t="s">
        <v>208</v>
      </c>
      <c r="K6" s="340" t="s">
        <v>196</v>
      </c>
      <c r="L6" s="331"/>
    </row>
    <row r="7" spans="2:14" ht="44.25" customHeight="1" x14ac:dyDescent="0.2">
      <c r="B7" s="343"/>
      <c r="C7" s="355"/>
      <c r="D7" s="343" t="s">
        <v>137</v>
      </c>
      <c r="E7" s="343" t="s">
        <v>158</v>
      </c>
      <c r="F7" s="355"/>
      <c r="G7" s="343" t="s">
        <v>137</v>
      </c>
      <c r="H7" s="343" t="s">
        <v>86</v>
      </c>
      <c r="I7" s="355"/>
      <c r="J7" s="343" t="s">
        <v>137</v>
      </c>
      <c r="K7" s="343" t="s">
        <v>158</v>
      </c>
      <c r="L7" s="339"/>
    </row>
    <row r="8" spans="2:14" ht="16.5" customHeight="1" thickBot="1" x14ac:dyDescent="0.3">
      <c r="B8" s="177" t="s">
        <v>276</v>
      </c>
      <c r="C8" s="46" t="s">
        <v>133</v>
      </c>
      <c r="D8" s="46" t="s">
        <v>132</v>
      </c>
      <c r="E8" s="45"/>
      <c r="F8" s="46" t="s">
        <v>133</v>
      </c>
      <c r="G8" s="46" t="s">
        <v>132</v>
      </c>
      <c r="H8" s="45"/>
      <c r="I8" s="46" t="s">
        <v>133</v>
      </c>
      <c r="J8" s="46" t="s">
        <v>132</v>
      </c>
      <c r="K8" s="46"/>
      <c r="L8" s="23" t="s">
        <v>328</v>
      </c>
    </row>
    <row r="9" spans="2:14" s="313" customFormat="1" ht="19.5" customHeight="1" thickTop="1" x14ac:dyDescent="0.2">
      <c r="B9" s="492" t="s">
        <v>266</v>
      </c>
      <c r="C9" s="493">
        <v>9491.66</v>
      </c>
      <c r="D9" s="493">
        <v>2436869.23</v>
      </c>
      <c r="E9" s="493">
        <v>930466159.63</v>
      </c>
      <c r="F9" s="493">
        <v>2547</v>
      </c>
      <c r="G9" s="493">
        <v>382207.81000000006</v>
      </c>
      <c r="H9" s="493">
        <v>123517614</v>
      </c>
      <c r="I9" s="493">
        <f t="shared" ref="I9:I14" si="0">C9+F9</f>
        <v>12038.66</v>
      </c>
      <c r="J9" s="493">
        <f t="shared" ref="J9:J14" si="1">D9+G9</f>
        <v>2819077.04</v>
      </c>
      <c r="K9" s="818">
        <f t="shared" ref="K9:K14" si="2">E9+H9</f>
        <v>1053983773.63</v>
      </c>
      <c r="L9" s="794" t="s">
        <v>267</v>
      </c>
    </row>
    <row r="10" spans="2:14" s="313" customFormat="1" ht="21" customHeight="1" x14ac:dyDescent="0.2">
      <c r="B10" s="796" t="s">
        <v>268</v>
      </c>
      <c r="C10" s="181">
        <v>9.2099999999999991</v>
      </c>
      <c r="D10" s="181">
        <v>8653.8200000000015</v>
      </c>
      <c r="E10" s="181">
        <v>6007938</v>
      </c>
      <c r="F10" s="181">
        <v>1.63</v>
      </c>
      <c r="G10" s="181">
        <v>4731.6100000000006</v>
      </c>
      <c r="H10" s="181">
        <v>1932000</v>
      </c>
      <c r="I10" s="181">
        <f t="shared" si="0"/>
        <v>10.84</v>
      </c>
      <c r="J10" s="181">
        <f t="shared" si="1"/>
        <v>13385.430000000002</v>
      </c>
      <c r="K10" s="181">
        <f t="shared" si="2"/>
        <v>7939938</v>
      </c>
      <c r="L10" s="799" t="s">
        <v>187</v>
      </c>
    </row>
    <row r="11" spans="2:14" s="313" customFormat="1" ht="25.5" customHeight="1" x14ac:dyDescent="0.2">
      <c r="B11" s="478" t="s">
        <v>269</v>
      </c>
      <c r="C11" s="507">
        <v>314.07999999999993</v>
      </c>
      <c r="D11" s="507">
        <v>359230.5</v>
      </c>
      <c r="E11" s="507">
        <v>128772341.86</v>
      </c>
      <c r="F11" s="507">
        <v>9.1</v>
      </c>
      <c r="G11" s="507">
        <v>5788.49</v>
      </c>
      <c r="H11" s="507">
        <v>2268877</v>
      </c>
      <c r="I11" s="507">
        <f t="shared" si="0"/>
        <v>323.17999999999995</v>
      </c>
      <c r="J11" s="507">
        <f t="shared" si="1"/>
        <v>365018.99</v>
      </c>
      <c r="K11" s="507">
        <f t="shared" si="2"/>
        <v>131041218.86</v>
      </c>
      <c r="L11" s="494" t="s">
        <v>270</v>
      </c>
    </row>
    <row r="12" spans="2:14" s="313" customFormat="1" ht="15" customHeight="1" x14ac:dyDescent="0.2">
      <c r="B12" s="796" t="s">
        <v>271</v>
      </c>
      <c r="C12" s="181">
        <v>12</v>
      </c>
      <c r="D12" s="181">
        <v>17540.666666666672</v>
      </c>
      <c r="E12" s="181">
        <v>4508012</v>
      </c>
      <c r="F12" s="181">
        <v>0</v>
      </c>
      <c r="G12" s="181">
        <v>0</v>
      </c>
      <c r="H12" s="181">
        <v>0</v>
      </c>
      <c r="I12" s="181">
        <f t="shared" si="0"/>
        <v>12</v>
      </c>
      <c r="J12" s="181">
        <f t="shared" si="1"/>
        <v>17540.666666666672</v>
      </c>
      <c r="K12" s="181">
        <f t="shared" si="2"/>
        <v>4508012</v>
      </c>
      <c r="L12" s="799" t="s">
        <v>272</v>
      </c>
    </row>
    <row r="13" spans="2:14" s="313" customFormat="1" ht="21" customHeight="1" x14ac:dyDescent="0.2">
      <c r="B13" s="478" t="s">
        <v>273</v>
      </c>
      <c r="C13" s="507">
        <v>8</v>
      </c>
      <c r="D13" s="507">
        <v>9579</v>
      </c>
      <c r="E13" s="507">
        <v>3667600</v>
      </c>
      <c r="F13" s="507">
        <v>1</v>
      </c>
      <c r="G13" s="507">
        <v>22</v>
      </c>
      <c r="H13" s="507">
        <v>6633</v>
      </c>
      <c r="I13" s="507">
        <f t="shared" si="0"/>
        <v>9</v>
      </c>
      <c r="J13" s="507">
        <f t="shared" si="1"/>
        <v>9601</v>
      </c>
      <c r="K13" s="507">
        <f t="shared" si="2"/>
        <v>3674233</v>
      </c>
      <c r="L13" s="494" t="s">
        <v>270</v>
      </c>
    </row>
    <row r="14" spans="2:14" s="313" customFormat="1" ht="15.75" customHeight="1" x14ac:dyDescent="0.2">
      <c r="B14" s="796" t="s">
        <v>274</v>
      </c>
      <c r="C14" s="181">
        <v>7</v>
      </c>
      <c r="D14" s="181">
        <v>14441</v>
      </c>
      <c r="E14" s="181">
        <v>6644746</v>
      </c>
      <c r="F14" s="181">
        <v>1</v>
      </c>
      <c r="G14" s="181">
        <v>5399</v>
      </c>
      <c r="H14" s="181">
        <v>2328485</v>
      </c>
      <c r="I14" s="181">
        <f t="shared" si="0"/>
        <v>8</v>
      </c>
      <c r="J14" s="181">
        <f t="shared" si="1"/>
        <v>19840</v>
      </c>
      <c r="K14" s="181">
        <f t="shared" si="2"/>
        <v>8973231</v>
      </c>
      <c r="L14" s="799" t="s">
        <v>188</v>
      </c>
    </row>
    <row r="15" spans="2:14" s="313" customFormat="1" ht="21" customHeight="1" thickBot="1" x14ac:dyDescent="0.25">
      <c r="B15" s="495" t="s">
        <v>275</v>
      </c>
      <c r="C15" s="496">
        <f t="shared" ref="C15:K15" si="3">SUM(C9:C14)</f>
        <v>9841.9499999999989</v>
      </c>
      <c r="D15" s="496">
        <f t="shared" si="3"/>
        <v>2846314.2166666663</v>
      </c>
      <c r="E15" s="817">
        <f t="shared" si="3"/>
        <v>1080066797.49</v>
      </c>
      <c r="F15" s="496">
        <f t="shared" si="3"/>
        <v>2559.73</v>
      </c>
      <c r="G15" s="496">
        <f t="shared" si="3"/>
        <v>398148.91000000003</v>
      </c>
      <c r="H15" s="496">
        <f t="shared" si="3"/>
        <v>130053609</v>
      </c>
      <c r="I15" s="496">
        <f>SUM(I9:I14)</f>
        <v>12401.68</v>
      </c>
      <c r="J15" s="496">
        <f t="shared" si="3"/>
        <v>3244463.1266666665</v>
      </c>
      <c r="K15" s="496">
        <f t="shared" si="3"/>
        <v>1210120406.49</v>
      </c>
      <c r="L15" s="496" t="s">
        <v>109</v>
      </c>
    </row>
    <row r="16" spans="2:14" ht="13.5" thickTop="1" x14ac:dyDescent="0.2">
      <c r="B16" s="237"/>
      <c r="C16" s="237"/>
      <c r="D16" s="237"/>
      <c r="E16" s="237"/>
      <c r="F16" s="237"/>
      <c r="G16" s="237"/>
      <c r="H16" s="237"/>
      <c r="I16" s="237"/>
      <c r="J16" s="237"/>
      <c r="K16" s="217"/>
    </row>
    <row r="17" spans="2:12" ht="13.5" customHeight="1" x14ac:dyDescent="0.2">
      <c r="B17" s="237"/>
      <c r="C17" s="237"/>
      <c r="D17" s="237"/>
      <c r="E17" s="237"/>
      <c r="F17" s="237"/>
      <c r="G17" s="237"/>
      <c r="H17" s="237"/>
      <c r="I17" s="237"/>
      <c r="J17" s="237"/>
      <c r="K17" s="217"/>
    </row>
    <row r="18" spans="2:12" ht="5.25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2:12" ht="15" x14ac:dyDescent="0.2">
      <c r="C19" s="849"/>
      <c r="D19" s="849"/>
      <c r="E19" s="849"/>
      <c r="F19" s="8"/>
      <c r="G19" s="8"/>
      <c r="H19" s="8"/>
      <c r="I19" s="8"/>
      <c r="J19" s="8"/>
      <c r="K19" s="8"/>
      <c r="L19" s="218"/>
    </row>
    <row r="20" spans="2:12" x14ac:dyDescent="0.2">
      <c r="B20" s="14"/>
      <c r="C20" s="14"/>
      <c r="D20" s="14"/>
      <c r="G20" s="14"/>
    </row>
    <row r="26" spans="2:12" x14ac:dyDescent="0.2">
      <c r="J26" s="6"/>
    </row>
  </sheetData>
  <mergeCells count="8">
    <mergeCell ref="C19:E19"/>
    <mergeCell ref="B1:K1"/>
    <mergeCell ref="C4:E4"/>
    <mergeCell ref="F4:H4"/>
    <mergeCell ref="I4:K4"/>
    <mergeCell ref="F5:H5"/>
    <mergeCell ref="C5:E5"/>
    <mergeCell ref="B2:L2"/>
  </mergeCells>
  <phoneticPr fontId="3" type="noConversion"/>
  <printOptions horizontalCentered="1" verticalCentered="1"/>
  <pageMargins left="0.19685039370078741" right="0.2" top="1.32" bottom="1.1200000000000001" header="0.31496062992125984" footer="0.78"/>
  <pageSetup orientation="landscape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0"/>
  <sheetViews>
    <sheetView rightToLeft="1" zoomScaleNormal="100" zoomScaleSheetLayoutView="100" workbookViewId="0">
      <selection activeCell="H23" sqref="H23"/>
    </sheetView>
  </sheetViews>
  <sheetFormatPr defaultRowHeight="12.75" x14ac:dyDescent="0.2"/>
  <cols>
    <col min="1" max="1" width="11.140625" customWidth="1"/>
    <col min="2" max="2" width="12" customWidth="1"/>
    <col min="3" max="3" width="15" customWidth="1"/>
    <col min="4" max="4" width="12.5703125" customWidth="1"/>
    <col min="5" max="5" width="14.42578125" customWidth="1"/>
    <col min="6" max="6" width="12.42578125" customWidth="1"/>
    <col min="7" max="7" width="15.42578125" customWidth="1"/>
    <col min="8" max="8" width="21" customWidth="1"/>
    <col min="9" max="9" width="9.42578125" customWidth="1"/>
  </cols>
  <sheetData>
    <row r="1" spans="1:8" ht="15" x14ac:dyDescent="0.2">
      <c r="A1" s="850" t="s">
        <v>469</v>
      </c>
      <c r="B1" s="850"/>
      <c r="C1" s="850"/>
      <c r="D1" s="850"/>
      <c r="E1" s="850"/>
      <c r="F1" s="850"/>
      <c r="G1" s="850"/>
      <c r="H1" s="850"/>
    </row>
    <row r="2" spans="1:8" x14ac:dyDescent="0.2">
      <c r="A2" s="852" t="s">
        <v>471</v>
      </c>
      <c r="B2" s="852"/>
      <c r="C2" s="852"/>
      <c r="D2" s="852"/>
      <c r="E2" s="852"/>
      <c r="F2" s="852"/>
      <c r="G2" s="852"/>
      <c r="H2" s="852"/>
    </row>
    <row r="3" spans="1:8" x14ac:dyDescent="0.2">
      <c r="A3" s="852"/>
      <c r="B3" s="852"/>
      <c r="C3" s="852"/>
      <c r="D3" s="852"/>
      <c r="E3" s="852"/>
      <c r="F3" s="852"/>
      <c r="G3" s="852"/>
      <c r="H3" s="852"/>
    </row>
    <row r="4" spans="1:8" s="7" customFormat="1" ht="15" x14ac:dyDescent="0.25">
      <c r="A4" s="219"/>
      <c r="B4" s="219"/>
      <c r="C4" s="219"/>
      <c r="D4" s="219"/>
      <c r="E4" s="219"/>
      <c r="F4" s="219"/>
      <c r="G4" s="873" t="s">
        <v>215</v>
      </c>
      <c r="H4" s="873"/>
    </row>
    <row r="5" spans="1:8" ht="15" customHeight="1" thickBot="1" x14ac:dyDescent="0.3">
      <c r="A5" s="866" t="s">
        <v>415</v>
      </c>
      <c r="B5" s="866"/>
      <c r="C5" s="41" t="s">
        <v>233</v>
      </c>
      <c r="E5" s="19"/>
      <c r="F5" s="19"/>
      <c r="G5" s="173" t="s">
        <v>148</v>
      </c>
      <c r="H5" s="245" t="s">
        <v>352</v>
      </c>
    </row>
    <row r="6" spans="1:8" s="339" customFormat="1" ht="15" customHeight="1" x14ac:dyDescent="0.25">
      <c r="A6" s="350"/>
      <c r="B6" s="341" t="s">
        <v>228</v>
      </c>
      <c r="C6" s="341"/>
      <c r="D6" s="341" t="s">
        <v>229</v>
      </c>
      <c r="E6" s="341"/>
      <c r="F6" s="851" t="s">
        <v>231</v>
      </c>
      <c r="G6" s="851"/>
      <c r="H6" s="350"/>
    </row>
    <row r="7" spans="1:8" ht="15" customHeight="1" x14ac:dyDescent="0.25">
      <c r="A7" s="42"/>
      <c r="B7" s="40" t="s">
        <v>315</v>
      </c>
      <c r="C7" s="40"/>
      <c r="D7" s="41" t="s">
        <v>230</v>
      </c>
      <c r="E7" s="40"/>
      <c r="F7" s="40" t="s">
        <v>232</v>
      </c>
      <c r="G7" s="40"/>
      <c r="H7" s="42"/>
    </row>
    <row r="8" spans="1:8" s="161" customFormat="1" ht="15" customHeight="1" thickBot="1" x14ac:dyDescent="0.25">
      <c r="A8" s="357"/>
      <c r="B8" s="166" t="s">
        <v>201</v>
      </c>
      <c r="C8" s="166" t="s">
        <v>238</v>
      </c>
      <c r="D8" s="166" t="s">
        <v>201</v>
      </c>
      <c r="E8" s="166" t="s">
        <v>238</v>
      </c>
      <c r="F8" s="166" t="s">
        <v>201</v>
      </c>
      <c r="G8" s="166" t="s">
        <v>238</v>
      </c>
      <c r="H8" s="357"/>
    </row>
    <row r="9" spans="1:8" s="374" customFormat="1" ht="15" customHeight="1" thickBot="1" x14ac:dyDescent="0.25">
      <c r="A9" s="371" t="s">
        <v>58</v>
      </c>
      <c r="B9" s="372" t="s">
        <v>134</v>
      </c>
      <c r="C9" s="372" t="s">
        <v>29</v>
      </c>
      <c r="D9" s="372" t="s">
        <v>134</v>
      </c>
      <c r="E9" s="372" t="s">
        <v>29</v>
      </c>
      <c r="F9" s="372" t="s">
        <v>134</v>
      </c>
      <c r="G9" s="372" t="s">
        <v>29</v>
      </c>
      <c r="H9" s="373" t="s">
        <v>26</v>
      </c>
    </row>
    <row r="10" spans="1:8" s="363" customFormat="1" ht="15" customHeight="1" x14ac:dyDescent="0.2">
      <c r="A10" s="166" t="s">
        <v>380</v>
      </c>
      <c r="B10" s="53">
        <v>20174</v>
      </c>
      <c r="C10" s="84">
        <v>765114</v>
      </c>
      <c r="D10" s="84">
        <v>5228</v>
      </c>
      <c r="E10" s="84">
        <v>193085</v>
      </c>
      <c r="F10" s="84">
        <f>B10+D10</f>
        <v>25402</v>
      </c>
      <c r="G10" s="84">
        <f>C10+E10</f>
        <v>958199</v>
      </c>
      <c r="H10" s="348" t="s">
        <v>381</v>
      </c>
    </row>
    <row r="11" spans="1:8" s="315" customFormat="1" ht="15" customHeight="1" x14ac:dyDescent="0.25">
      <c r="A11" s="34" t="s">
        <v>30</v>
      </c>
      <c r="B11" s="81">
        <v>8226</v>
      </c>
      <c r="C11" s="82">
        <v>397146</v>
      </c>
      <c r="D11" s="81">
        <v>56778</v>
      </c>
      <c r="E11" s="81">
        <v>2013102</v>
      </c>
      <c r="F11" s="81">
        <f t="shared" ref="F11:F16" si="0">B11+D11</f>
        <v>65004</v>
      </c>
      <c r="G11" s="81">
        <f t="shared" ref="G11:G16" si="1">C11+E11</f>
        <v>2410248</v>
      </c>
      <c r="H11" s="675" t="s">
        <v>31</v>
      </c>
    </row>
    <row r="12" spans="1:8" s="161" customFormat="1" ht="15" customHeight="1" x14ac:dyDescent="0.25">
      <c r="A12" s="346" t="s">
        <v>3</v>
      </c>
      <c r="B12" s="84">
        <v>47703</v>
      </c>
      <c r="C12" s="163">
        <v>1654420</v>
      </c>
      <c r="D12" s="84">
        <v>63420</v>
      </c>
      <c r="E12" s="84">
        <v>0</v>
      </c>
      <c r="F12" s="84">
        <f t="shared" si="0"/>
        <v>111123</v>
      </c>
      <c r="G12" s="84">
        <f t="shared" si="1"/>
        <v>1654420</v>
      </c>
      <c r="H12" s="349" t="s">
        <v>15</v>
      </c>
    </row>
    <row r="13" spans="1:8" s="315" customFormat="1" ht="15" customHeight="1" x14ac:dyDescent="0.25">
      <c r="A13" s="15" t="s">
        <v>365</v>
      </c>
      <c r="B13" s="81">
        <v>856</v>
      </c>
      <c r="C13" s="82">
        <f>B13*121</f>
        <v>103576</v>
      </c>
      <c r="D13" s="81">
        <v>15928</v>
      </c>
      <c r="E13" s="81">
        <v>650170</v>
      </c>
      <c r="F13" s="81">
        <f t="shared" si="0"/>
        <v>16784</v>
      </c>
      <c r="G13" s="81">
        <f t="shared" si="1"/>
        <v>753746</v>
      </c>
      <c r="H13" s="675" t="s">
        <v>359</v>
      </c>
    </row>
    <row r="14" spans="1:8" s="161" customFormat="1" ht="15" customHeight="1" x14ac:dyDescent="0.25">
      <c r="A14" s="55" t="s">
        <v>4</v>
      </c>
      <c r="B14" s="84">
        <v>122985</v>
      </c>
      <c r="C14" s="163">
        <v>36909646</v>
      </c>
      <c r="D14" s="84">
        <v>0</v>
      </c>
      <c r="E14" s="84">
        <v>0</v>
      </c>
      <c r="F14" s="84">
        <f t="shared" si="0"/>
        <v>122985</v>
      </c>
      <c r="G14" s="84">
        <f t="shared" si="1"/>
        <v>36909646</v>
      </c>
      <c r="H14" s="56" t="s">
        <v>16</v>
      </c>
    </row>
    <row r="15" spans="1:8" s="315" customFormat="1" ht="15" customHeight="1" x14ac:dyDescent="0.25">
      <c r="A15" s="15" t="s">
        <v>2</v>
      </c>
      <c r="B15" s="81">
        <v>9978</v>
      </c>
      <c r="C15" s="82">
        <v>3275817</v>
      </c>
      <c r="D15" s="81">
        <v>150</v>
      </c>
      <c r="E15" s="81">
        <v>10640</v>
      </c>
      <c r="F15" s="81">
        <f t="shared" si="0"/>
        <v>10128</v>
      </c>
      <c r="G15" s="81">
        <f t="shared" si="1"/>
        <v>3286457</v>
      </c>
      <c r="H15" s="647" t="s">
        <v>14</v>
      </c>
    </row>
    <row r="16" spans="1:8" s="161" customFormat="1" ht="15" customHeight="1" thickBot="1" x14ac:dyDescent="0.3">
      <c r="A16" s="55" t="s">
        <v>7</v>
      </c>
      <c r="B16" s="84">
        <v>47</v>
      </c>
      <c r="C16" s="163">
        <v>4708</v>
      </c>
      <c r="D16" s="84">
        <v>87</v>
      </c>
      <c r="E16" s="84">
        <f>D16*60</f>
        <v>5220</v>
      </c>
      <c r="F16" s="84">
        <f t="shared" si="0"/>
        <v>134</v>
      </c>
      <c r="G16" s="84">
        <f t="shared" si="1"/>
        <v>9928</v>
      </c>
      <c r="H16" s="487" t="s">
        <v>17</v>
      </c>
    </row>
    <row r="17" spans="1:8" s="369" customFormat="1" ht="18.75" customHeight="1" thickBot="1" x14ac:dyDescent="0.25">
      <c r="A17" s="375" t="s">
        <v>0</v>
      </c>
      <c r="B17" s="810">
        <f t="shared" ref="B17:G17" si="2">SUM(B10:B16)</f>
        <v>209969</v>
      </c>
      <c r="C17" s="368">
        <f t="shared" si="2"/>
        <v>43110427</v>
      </c>
      <c r="D17" s="368">
        <f t="shared" si="2"/>
        <v>141591</v>
      </c>
      <c r="E17" s="368">
        <f t="shared" si="2"/>
        <v>2872217</v>
      </c>
      <c r="F17" s="368">
        <f t="shared" si="2"/>
        <v>351560</v>
      </c>
      <c r="G17" s="368">
        <f t="shared" si="2"/>
        <v>45982644</v>
      </c>
      <c r="H17" s="376" t="s">
        <v>1</v>
      </c>
    </row>
    <row r="18" spans="1:8" ht="15" x14ac:dyDescent="0.2">
      <c r="A18" s="809" t="s">
        <v>506</v>
      </c>
      <c r="B18" s="809"/>
      <c r="C18" s="809"/>
      <c r="D18" s="809"/>
      <c r="E18" s="809"/>
      <c r="F18" s="14"/>
      <c r="G18" s="237"/>
      <c r="H18" s="475"/>
    </row>
    <row r="19" spans="1:8" ht="15" customHeight="1" x14ac:dyDescent="0.2">
      <c r="A19" s="895"/>
      <c r="B19" s="895"/>
      <c r="C19" s="895"/>
      <c r="D19" s="895"/>
      <c r="E19" s="14"/>
      <c r="F19" s="14"/>
      <c r="G19" s="14"/>
      <c r="H19" s="14"/>
    </row>
    <row r="20" spans="1:8" ht="15" customHeight="1" x14ac:dyDescent="0.2">
      <c r="A20" s="895"/>
      <c r="B20" s="895"/>
      <c r="C20" s="895"/>
      <c r="D20" s="895"/>
      <c r="E20" s="14"/>
      <c r="F20" s="14"/>
      <c r="G20" s="14"/>
      <c r="H20" s="14"/>
    </row>
  </sheetData>
  <mergeCells count="7">
    <mergeCell ref="A19:D19"/>
    <mergeCell ref="A20:D20"/>
    <mergeCell ref="F6:G6"/>
    <mergeCell ref="G4:H4"/>
    <mergeCell ref="A1:H1"/>
    <mergeCell ref="A2:H3"/>
    <mergeCell ref="A5:B5"/>
  </mergeCells>
  <phoneticPr fontId="3" type="noConversion"/>
  <printOptions horizontalCentered="1" verticalCentered="1"/>
  <pageMargins left="0.25" right="0.71" top="9.6874999999999999E-3" bottom="0.75" header="0.35" footer="0.3"/>
  <pageSetup scale="93" orientation="landscape" verticalDpi="300" r:id="rId1"/>
  <headerFooter alignWithMargins="0">
    <oddFooter>&amp;C28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O28"/>
  <sheetViews>
    <sheetView rightToLeft="1" zoomScaleSheetLayoutView="98" workbookViewId="0">
      <selection activeCell="F15" sqref="F15"/>
    </sheetView>
  </sheetViews>
  <sheetFormatPr defaultRowHeight="12.75" x14ac:dyDescent="0.2"/>
  <cols>
    <col min="1" max="1" width="11.28515625" customWidth="1"/>
    <col min="2" max="2" width="11.140625" customWidth="1"/>
    <col min="3" max="3" width="15" customWidth="1"/>
    <col min="4" max="4" width="10.140625" bestFit="1" customWidth="1"/>
    <col min="5" max="5" width="13.28515625" customWidth="1"/>
    <col min="6" max="6" width="11.7109375" customWidth="1"/>
    <col min="7" max="7" width="15.42578125" customWidth="1"/>
    <col min="8" max="8" width="14.28515625" customWidth="1"/>
    <col min="9" max="9" width="1.140625" customWidth="1"/>
    <col min="10" max="10" width="2.5703125" customWidth="1"/>
  </cols>
  <sheetData>
    <row r="1" spans="1:41" ht="21" customHeight="1" x14ac:dyDescent="0.2">
      <c r="A1" s="896" t="s">
        <v>469</v>
      </c>
      <c r="B1" s="896"/>
      <c r="C1" s="896"/>
      <c r="D1" s="896"/>
      <c r="E1" s="896"/>
      <c r="F1" s="896"/>
      <c r="G1" s="896"/>
      <c r="H1" s="896"/>
    </row>
    <row r="2" spans="1:41" ht="15" customHeight="1" x14ac:dyDescent="0.2">
      <c r="A2" s="898" t="s">
        <v>471</v>
      </c>
      <c r="B2" s="898"/>
      <c r="C2" s="898"/>
      <c r="D2" s="898"/>
      <c r="E2" s="898"/>
      <c r="F2" s="898"/>
      <c r="G2" s="898"/>
      <c r="H2" s="898"/>
    </row>
    <row r="3" spans="1:41" ht="8.25" customHeight="1" x14ac:dyDescent="0.2">
      <c r="A3" s="898"/>
      <c r="B3" s="898"/>
      <c r="C3" s="898"/>
      <c r="D3" s="898"/>
      <c r="E3" s="898"/>
      <c r="F3" s="898"/>
      <c r="G3" s="898"/>
      <c r="H3" s="89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20.25" customHeight="1" x14ac:dyDescent="0.25">
      <c r="A4" s="91"/>
      <c r="B4" s="91"/>
      <c r="C4" s="91"/>
      <c r="D4" s="91"/>
      <c r="E4" s="91"/>
      <c r="F4" s="91"/>
      <c r="G4" s="873" t="s">
        <v>215</v>
      </c>
      <c r="H4" s="87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8.25" customHeight="1" x14ac:dyDescent="0.2">
      <c r="A5" s="91"/>
      <c r="B5" s="91"/>
      <c r="C5" s="91"/>
      <c r="D5" s="91"/>
      <c r="E5" s="91"/>
      <c r="F5" s="91"/>
      <c r="G5" s="91"/>
      <c r="H5" s="91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ht="21.75" customHeight="1" thickBot="1" x14ac:dyDescent="0.3">
      <c r="A6" s="897" t="s">
        <v>416</v>
      </c>
      <c r="B6" s="897"/>
      <c r="C6" s="87" t="s">
        <v>183</v>
      </c>
      <c r="D6" s="88"/>
      <c r="E6" s="25"/>
      <c r="F6" s="88"/>
      <c r="G6" s="89" t="s">
        <v>284</v>
      </c>
      <c r="H6" s="90" t="s">
        <v>341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15" customHeight="1" x14ac:dyDescent="0.2">
      <c r="A7" s="93"/>
      <c r="B7" s="94" t="s">
        <v>44</v>
      </c>
      <c r="C7" s="95"/>
      <c r="D7" s="94" t="s">
        <v>209</v>
      </c>
      <c r="E7" s="95"/>
      <c r="F7" s="94" t="s">
        <v>0</v>
      </c>
      <c r="G7" s="95"/>
      <c r="H7" s="9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41" ht="15" customHeight="1" x14ac:dyDescent="0.2">
      <c r="A8" s="91"/>
      <c r="B8" s="91" t="s">
        <v>168</v>
      </c>
      <c r="C8" s="91"/>
      <c r="D8" s="91" t="s">
        <v>316</v>
      </c>
      <c r="E8" s="91"/>
      <c r="F8" s="175" t="s">
        <v>1</v>
      </c>
      <c r="G8" s="91"/>
      <c r="H8" s="92"/>
    </row>
    <row r="9" spans="1:41" s="161" customFormat="1" ht="12" customHeight="1" thickBot="1" x14ac:dyDescent="0.3">
      <c r="A9" s="165"/>
      <c r="B9" s="377" t="s">
        <v>201</v>
      </c>
      <c r="C9" s="377" t="s">
        <v>238</v>
      </c>
      <c r="D9" s="377" t="s">
        <v>201</v>
      </c>
      <c r="E9" s="377" t="s">
        <v>238</v>
      </c>
      <c r="F9" s="377" t="s">
        <v>201</v>
      </c>
      <c r="G9" s="377" t="s">
        <v>238</v>
      </c>
      <c r="H9" s="378"/>
    </row>
    <row r="10" spans="1:41" s="369" customFormat="1" ht="16.5" customHeight="1" thickBot="1" x14ac:dyDescent="0.25">
      <c r="A10" s="379" t="s">
        <v>54</v>
      </c>
      <c r="B10" s="380" t="s">
        <v>134</v>
      </c>
      <c r="C10" s="381" t="s">
        <v>29</v>
      </c>
      <c r="D10" s="380" t="s">
        <v>134</v>
      </c>
      <c r="E10" s="381" t="s">
        <v>29</v>
      </c>
      <c r="F10" s="380" t="s">
        <v>134</v>
      </c>
      <c r="G10" s="381" t="s">
        <v>29</v>
      </c>
      <c r="H10" s="382" t="s">
        <v>26</v>
      </c>
    </row>
    <row r="11" spans="1:41" s="485" customFormat="1" ht="15" customHeight="1" x14ac:dyDescent="0.25">
      <c r="A11" s="751" t="s">
        <v>380</v>
      </c>
      <c r="B11" s="752">
        <v>18008</v>
      </c>
      <c r="C11" s="82">
        <v>222656</v>
      </c>
      <c r="D11" s="752">
        <v>7394</v>
      </c>
      <c r="E11" s="82">
        <v>69981</v>
      </c>
      <c r="F11" s="752">
        <f>B11+D11</f>
        <v>25402</v>
      </c>
      <c r="G11" s="82">
        <f>C11+E11</f>
        <v>292637</v>
      </c>
      <c r="H11" s="748" t="s">
        <v>381</v>
      </c>
    </row>
    <row r="12" spans="1:41" s="485" customFormat="1" ht="15" customHeight="1" x14ac:dyDescent="0.25">
      <c r="A12" s="538" t="s">
        <v>30</v>
      </c>
      <c r="B12" s="539">
        <v>7787</v>
      </c>
      <c r="C12" s="480">
        <v>57295</v>
      </c>
      <c r="D12" s="539">
        <v>47981</v>
      </c>
      <c r="E12" s="480">
        <v>601983</v>
      </c>
      <c r="F12" s="539">
        <f t="shared" ref="F12:F25" si="0">B12+D12</f>
        <v>55768</v>
      </c>
      <c r="G12" s="480">
        <f t="shared" ref="G12:G25" si="1">C12+E12</f>
        <v>659278</v>
      </c>
      <c r="H12" s="541" t="s">
        <v>31</v>
      </c>
    </row>
    <row r="13" spans="1:41" s="313" customFormat="1" ht="15" customHeight="1" x14ac:dyDescent="0.25">
      <c r="A13" s="753" t="s">
        <v>3</v>
      </c>
      <c r="B13" s="752">
        <v>35619</v>
      </c>
      <c r="C13" s="82">
        <v>828543</v>
      </c>
      <c r="D13" s="752">
        <v>57233</v>
      </c>
      <c r="E13" s="82">
        <v>1335589</v>
      </c>
      <c r="F13" s="752">
        <f t="shared" si="0"/>
        <v>92852</v>
      </c>
      <c r="G13" s="82">
        <f t="shared" si="1"/>
        <v>2164132</v>
      </c>
      <c r="H13" s="748" t="s">
        <v>15</v>
      </c>
    </row>
    <row r="14" spans="1:41" s="313" customFormat="1" ht="15" customHeight="1" x14ac:dyDescent="0.25">
      <c r="A14" s="538" t="s">
        <v>365</v>
      </c>
      <c r="B14" s="539">
        <v>20288</v>
      </c>
      <c r="C14" s="480">
        <v>472811</v>
      </c>
      <c r="D14" s="539">
        <v>8760</v>
      </c>
      <c r="E14" s="480">
        <v>237096</v>
      </c>
      <c r="F14" s="539">
        <f t="shared" si="0"/>
        <v>29048</v>
      </c>
      <c r="G14" s="480">
        <f t="shared" si="1"/>
        <v>709907</v>
      </c>
      <c r="H14" s="541" t="s">
        <v>359</v>
      </c>
    </row>
    <row r="15" spans="1:41" s="313" customFormat="1" ht="15" customHeight="1" x14ac:dyDescent="0.25">
      <c r="A15" s="753" t="s">
        <v>4</v>
      </c>
      <c r="B15" s="752">
        <v>279564</v>
      </c>
      <c r="C15" s="82">
        <v>6936908</v>
      </c>
      <c r="D15" s="752">
        <v>94006</v>
      </c>
      <c r="E15" s="82">
        <v>2454273</v>
      </c>
      <c r="F15" s="752">
        <f t="shared" si="0"/>
        <v>373570</v>
      </c>
      <c r="G15" s="82">
        <f t="shared" si="1"/>
        <v>9391181</v>
      </c>
      <c r="H15" s="748" t="s">
        <v>16</v>
      </c>
    </row>
    <row r="16" spans="1:41" s="313" customFormat="1" ht="15" customHeight="1" x14ac:dyDescent="0.25">
      <c r="A16" s="542" t="s">
        <v>5</v>
      </c>
      <c r="B16" s="539">
        <v>34836</v>
      </c>
      <c r="C16" s="480">
        <v>495172</v>
      </c>
      <c r="D16" s="539">
        <v>27228</v>
      </c>
      <c r="E16" s="480">
        <v>535798</v>
      </c>
      <c r="F16" s="539">
        <f t="shared" si="0"/>
        <v>62064</v>
      </c>
      <c r="G16" s="480">
        <f t="shared" si="1"/>
        <v>1030970</v>
      </c>
      <c r="H16" s="540" t="s">
        <v>23</v>
      </c>
    </row>
    <row r="17" spans="1:8" s="313" customFormat="1" ht="15" customHeight="1" x14ac:dyDescent="0.25">
      <c r="A17" s="753" t="s">
        <v>6</v>
      </c>
      <c r="B17" s="752">
        <v>40144</v>
      </c>
      <c r="C17" s="82">
        <v>825259</v>
      </c>
      <c r="D17" s="752">
        <v>17811</v>
      </c>
      <c r="E17" s="82">
        <v>415375</v>
      </c>
      <c r="F17" s="752">
        <f t="shared" si="0"/>
        <v>57955</v>
      </c>
      <c r="G17" s="82">
        <f t="shared" si="1"/>
        <v>1240634</v>
      </c>
      <c r="H17" s="748" t="s">
        <v>24</v>
      </c>
    </row>
    <row r="18" spans="1:8" s="313" customFormat="1" ht="15" customHeight="1" x14ac:dyDescent="0.25">
      <c r="A18" s="542" t="s">
        <v>11</v>
      </c>
      <c r="B18" s="539">
        <v>20584</v>
      </c>
      <c r="C18" s="480">
        <f>B18*18</f>
        <v>370512</v>
      </c>
      <c r="D18" s="539">
        <v>12266</v>
      </c>
      <c r="E18" s="480">
        <v>184865</v>
      </c>
      <c r="F18" s="539">
        <f t="shared" si="0"/>
        <v>32850</v>
      </c>
      <c r="G18" s="480">
        <f t="shared" si="1"/>
        <v>555377</v>
      </c>
      <c r="H18" s="540" t="s">
        <v>21</v>
      </c>
    </row>
    <row r="19" spans="1:8" s="313" customFormat="1" ht="13.5" customHeight="1" x14ac:dyDescent="0.25">
      <c r="A19" s="753" t="s">
        <v>2</v>
      </c>
      <c r="B19" s="752">
        <v>22330</v>
      </c>
      <c r="C19" s="82">
        <v>109853</v>
      </c>
      <c r="D19" s="752">
        <v>24131</v>
      </c>
      <c r="E19" s="82">
        <v>242708</v>
      </c>
      <c r="F19" s="752">
        <f t="shared" si="0"/>
        <v>46461</v>
      </c>
      <c r="G19" s="82">
        <f t="shared" si="1"/>
        <v>352561</v>
      </c>
      <c r="H19" s="748" t="s">
        <v>14</v>
      </c>
    </row>
    <row r="20" spans="1:8" s="313" customFormat="1" ht="15" customHeight="1" x14ac:dyDescent="0.25">
      <c r="A20" s="542" t="s">
        <v>7</v>
      </c>
      <c r="B20" s="539">
        <v>54555</v>
      </c>
      <c r="C20" s="480">
        <v>1040935</v>
      </c>
      <c r="D20" s="539">
        <v>35484</v>
      </c>
      <c r="E20" s="480">
        <v>602110</v>
      </c>
      <c r="F20" s="539">
        <f t="shared" si="0"/>
        <v>90039</v>
      </c>
      <c r="G20" s="480">
        <f t="shared" si="1"/>
        <v>1643045</v>
      </c>
      <c r="H20" s="540" t="s">
        <v>17</v>
      </c>
    </row>
    <row r="21" spans="1:8" s="313" customFormat="1" ht="15" customHeight="1" x14ac:dyDescent="0.25">
      <c r="A21" s="753" t="s">
        <v>8</v>
      </c>
      <c r="B21" s="752">
        <v>13704</v>
      </c>
      <c r="C21" s="82">
        <f>B21*18</f>
        <v>246672</v>
      </c>
      <c r="D21" s="752">
        <v>32962</v>
      </c>
      <c r="E21" s="82">
        <v>666699</v>
      </c>
      <c r="F21" s="752">
        <f t="shared" si="0"/>
        <v>46666</v>
      </c>
      <c r="G21" s="82">
        <f t="shared" si="1"/>
        <v>913371</v>
      </c>
      <c r="H21" s="748" t="s">
        <v>18</v>
      </c>
    </row>
    <row r="22" spans="1:8" s="313" customFormat="1" ht="15" customHeight="1" x14ac:dyDescent="0.25">
      <c r="A22" s="542" t="s">
        <v>9</v>
      </c>
      <c r="B22" s="539">
        <v>22252</v>
      </c>
      <c r="C22" s="480">
        <v>431237</v>
      </c>
      <c r="D22" s="539">
        <v>8662</v>
      </c>
      <c r="E22" s="480">
        <v>179176</v>
      </c>
      <c r="F22" s="539">
        <f t="shared" si="0"/>
        <v>30914</v>
      </c>
      <c r="G22" s="480">
        <f t="shared" si="1"/>
        <v>610413</v>
      </c>
      <c r="H22" s="540" t="s">
        <v>19</v>
      </c>
    </row>
    <row r="23" spans="1:8" s="313" customFormat="1" ht="15" customHeight="1" x14ac:dyDescent="0.25">
      <c r="A23" s="753" t="s">
        <v>10</v>
      </c>
      <c r="B23" s="752">
        <v>27869</v>
      </c>
      <c r="C23" s="82">
        <v>616045</v>
      </c>
      <c r="D23" s="752">
        <v>7998</v>
      </c>
      <c r="E23" s="82">
        <v>173567</v>
      </c>
      <c r="F23" s="752">
        <f t="shared" si="0"/>
        <v>35867</v>
      </c>
      <c r="G23" s="82">
        <f t="shared" si="1"/>
        <v>789612</v>
      </c>
      <c r="H23" s="748" t="s">
        <v>20</v>
      </c>
    </row>
    <row r="24" spans="1:8" s="313" customFormat="1" ht="15" customHeight="1" x14ac:dyDescent="0.25">
      <c r="A24" s="754" t="s">
        <v>12</v>
      </c>
      <c r="B24" s="755">
        <v>6639</v>
      </c>
      <c r="C24" s="163">
        <v>78827</v>
      </c>
      <c r="D24" s="755">
        <v>3288</v>
      </c>
      <c r="E24" s="163">
        <v>49184</v>
      </c>
      <c r="F24" s="755">
        <f t="shared" si="0"/>
        <v>9927</v>
      </c>
      <c r="G24" s="163">
        <f t="shared" si="1"/>
        <v>128011</v>
      </c>
      <c r="H24" s="756" t="s">
        <v>25</v>
      </c>
    </row>
    <row r="25" spans="1:8" s="313" customFormat="1" ht="15" customHeight="1" thickBot="1" x14ac:dyDescent="0.3">
      <c r="A25" s="753" t="s">
        <v>13</v>
      </c>
      <c r="B25" s="752">
        <v>50537</v>
      </c>
      <c r="C25" s="82">
        <v>1152873</v>
      </c>
      <c r="D25" s="752">
        <v>16549</v>
      </c>
      <c r="E25" s="82">
        <v>422850</v>
      </c>
      <c r="F25" s="752">
        <f t="shared" si="0"/>
        <v>67086</v>
      </c>
      <c r="G25" s="82">
        <f t="shared" si="1"/>
        <v>1575723</v>
      </c>
      <c r="H25" s="748" t="s">
        <v>22</v>
      </c>
    </row>
    <row r="26" spans="1:8" s="537" customFormat="1" ht="17.25" customHeight="1" thickBot="1" x14ac:dyDescent="0.3">
      <c r="A26" s="543" t="s">
        <v>0</v>
      </c>
      <c r="B26" s="544">
        <f>SUM(B11:B25)</f>
        <v>654716</v>
      </c>
      <c r="C26" s="544">
        <f>SUM(C11:C25)</f>
        <v>13885598</v>
      </c>
      <c r="D26" s="544">
        <f>SUM(D11:D25)</f>
        <v>401753</v>
      </c>
      <c r="E26" s="544">
        <v>8171254</v>
      </c>
      <c r="F26" s="544">
        <f>SUM(F11:F25)</f>
        <v>1056469</v>
      </c>
      <c r="G26" s="535">
        <f>SUM(G11:G25)</f>
        <v>22056852</v>
      </c>
      <c r="H26" s="543" t="s">
        <v>1</v>
      </c>
    </row>
    <row r="27" spans="1:8" ht="15" x14ac:dyDescent="0.2">
      <c r="A27" s="889"/>
      <c r="B27" s="889"/>
      <c r="C27" s="889"/>
      <c r="D27" s="889"/>
      <c r="E27" s="889"/>
      <c r="F27" s="889"/>
      <c r="G27" s="889"/>
      <c r="H27" s="889"/>
    </row>
    <row r="28" spans="1:8" ht="18.75" customHeight="1" x14ac:dyDescent="0.2"/>
  </sheetData>
  <mergeCells count="5">
    <mergeCell ref="G4:H4"/>
    <mergeCell ref="A1:H1"/>
    <mergeCell ref="A6:B6"/>
    <mergeCell ref="A27:H27"/>
    <mergeCell ref="A2:H3"/>
  </mergeCells>
  <phoneticPr fontId="3" type="noConversion"/>
  <printOptions horizontalCentered="1" verticalCentered="1"/>
  <pageMargins left="1.5" right="1.6" top="1.0416666666666666E-2" bottom="0.74" header="0.48" footer="0.511811023622047"/>
  <pageSetup orientation="landscape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7"/>
  <sheetViews>
    <sheetView rightToLeft="1" zoomScaleSheetLayoutView="98" workbookViewId="0">
      <selection activeCell="M32" sqref="M32"/>
    </sheetView>
  </sheetViews>
  <sheetFormatPr defaultRowHeight="12.75" x14ac:dyDescent="0.2"/>
  <cols>
    <col min="1" max="1" width="11.42578125" customWidth="1"/>
    <col min="2" max="2" width="10.140625" bestFit="1" customWidth="1"/>
    <col min="3" max="3" width="16.85546875" customWidth="1"/>
    <col min="4" max="4" width="10.140625" bestFit="1" customWidth="1"/>
    <col min="5" max="5" width="15.85546875" customWidth="1"/>
    <col min="6" max="6" width="12.5703125" bestFit="1" customWidth="1"/>
    <col min="7" max="7" width="15.85546875" customWidth="1"/>
    <col min="8" max="8" width="19.7109375" customWidth="1"/>
  </cols>
  <sheetData>
    <row r="1" spans="1:8" ht="15" x14ac:dyDescent="0.2">
      <c r="A1" s="899" t="s">
        <v>472</v>
      </c>
      <c r="B1" s="899"/>
      <c r="C1" s="899"/>
      <c r="D1" s="899"/>
      <c r="E1" s="899"/>
      <c r="F1" s="899"/>
      <c r="G1" s="899"/>
      <c r="H1" s="899"/>
    </row>
    <row r="2" spans="1:8" x14ac:dyDescent="0.2">
      <c r="A2" s="900" t="s">
        <v>473</v>
      </c>
      <c r="B2" s="900"/>
      <c r="C2" s="900"/>
      <c r="D2" s="900"/>
      <c r="E2" s="900"/>
      <c r="F2" s="900"/>
      <c r="G2" s="900"/>
      <c r="H2" s="900"/>
    </row>
    <row r="3" spans="1:8" x14ac:dyDescent="0.2">
      <c r="A3" s="900"/>
      <c r="B3" s="900"/>
      <c r="C3" s="900"/>
      <c r="D3" s="900"/>
      <c r="E3" s="900"/>
      <c r="F3" s="900"/>
      <c r="G3" s="900"/>
      <c r="H3" s="900"/>
    </row>
    <row r="4" spans="1:8" ht="12.75" customHeight="1" x14ac:dyDescent="0.25">
      <c r="A4" s="23"/>
      <c r="B4" s="19"/>
      <c r="C4" s="19"/>
      <c r="D4" s="97"/>
      <c r="E4" s="19"/>
      <c r="F4" s="19"/>
      <c r="G4" s="873" t="s">
        <v>215</v>
      </c>
      <c r="H4" s="873"/>
    </row>
    <row r="5" spans="1:8" ht="15" customHeight="1" thickBot="1" x14ac:dyDescent="0.3">
      <c r="A5" s="901" t="s">
        <v>417</v>
      </c>
      <c r="B5" s="901"/>
      <c r="C5" s="98" t="s">
        <v>184</v>
      </c>
      <c r="D5" s="99"/>
      <c r="E5" s="19"/>
      <c r="F5" s="100"/>
      <c r="G5" s="101" t="s">
        <v>185</v>
      </c>
      <c r="H5" s="102" t="s">
        <v>335</v>
      </c>
    </row>
    <row r="6" spans="1:8" ht="15" customHeight="1" x14ac:dyDescent="0.25">
      <c r="A6" s="39"/>
      <c r="B6" s="107" t="s">
        <v>210</v>
      </c>
      <c r="C6" s="106"/>
      <c r="D6" s="107" t="s">
        <v>211</v>
      </c>
      <c r="E6" s="106"/>
      <c r="F6" s="107" t="s">
        <v>0</v>
      </c>
      <c r="G6" s="106"/>
      <c r="H6" s="105"/>
    </row>
    <row r="7" spans="1:8" ht="15" customHeight="1" x14ac:dyDescent="0.25">
      <c r="A7" s="42"/>
      <c r="B7" s="188" t="s">
        <v>309</v>
      </c>
      <c r="C7" s="104"/>
      <c r="D7" s="188" t="s">
        <v>308</v>
      </c>
      <c r="E7" s="104"/>
      <c r="F7" s="97" t="s">
        <v>1</v>
      </c>
      <c r="G7" s="104"/>
      <c r="H7" s="103"/>
    </row>
    <row r="8" spans="1:8" s="363" customFormat="1" ht="15" customHeight="1" x14ac:dyDescent="0.2">
      <c r="A8" s="383"/>
      <c r="B8" s="384" t="s">
        <v>201</v>
      </c>
      <c r="C8" s="385" t="s">
        <v>238</v>
      </c>
      <c r="D8" s="385" t="s">
        <v>201</v>
      </c>
      <c r="E8" s="385" t="s">
        <v>238</v>
      </c>
      <c r="F8" s="385" t="s">
        <v>201</v>
      </c>
      <c r="G8" s="385" t="s">
        <v>238</v>
      </c>
      <c r="H8" s="386"/>
    </row>
    <row r="9" spans="1:8" s="367" customFormat="1" ht="15" customHeight="1" thickBot="1" x14ac:dyDescent="0.25">
      <c r="A9" s="387" t="s">
        <v>50</v>
      </c>
      <c r="B9" s="388" t="s">
        <v>134</v>
      </c>
      <c r="C9" s="388" t="s">
        <v>29</v>
      </c>
      <c r="D9" s="388" t="s">
        <v>134</v>
      </c>
      <c r="E9" s="388" t="s">
        <v>29</v>
      </c>
      <c r="F9" s="388" t="s">
        <v>134</v>
      </c>
      <c r="G9" s="388" t="s">
        <v>29</v>
      </c>
      <c r="H9" s="389" t="s">
        <v>26</v>
      </c>
    </row>
    <row r="10" spans="1:8" s="485" customFormat="1" ht="15" customHeight="1" x14ac:dyDescent="0.25">
      <c r="A10" s="746" t="s">
        <v>380</v>
      </c>
      <c r="B10" s="747">
        <v>16.518999999999998</v>
      </c>
      <c r="C10" s="82">
        <v>340.93</v>
      </c>
      <c r="D10" s="747">
        <v>13.952999999999999</v>
      </c>
      <c r="E10" s="82">
        <v>305.916</v>
      </c>
      <c r="F10" s="747">
        <f>B10+D10</f>
        <v>30.471999999999998</v>
      </c>
      <c r="G10" s="82">
        <f>C10+E10</f>
        <v>646.846</v>
      </c>
      <c r="H10" s="748" t="s">
        <v>381</v>
      </c>
    </row>
    <row r="11" spans="1:8" s="313" customFormat="1" ht="15" customHeight="1" x14ac:dyDescent="0.25">
      <c r="A11" s="545" t="s">
        <v>30</v>
      </c>
      <c r="B11" s="546">
        <v>0.69399999999999995</v>
      </c>
      <c r="C11" s="480">
        <v>9.58</v>
      </c>
      <c r="D11" s="546">
        <v>56.625</v>
      </c>
      <c r="E11" s="480">
        <v>1658.742</v>
      </c>
      <c r="F11" s="546">
        <f t="shared" ref="F11:F24" si="0">B11+D11</f>
        <v>57.319000000000003</v>
      </c>
      <c r="G11" s="480">
        <f t="shared" ref="G11:G24" si="1">C11+E11</f>
        <v>1668.3219999999999</v>
      </c>
      <c r="H11" s="547" t="s">
        <v>31</v>
      </c>
    </row>
    <row r="12" spans="1:8" s="313" customFormat="1" ht="15" customHeight="1" x14ac:dyDescent="0.25">
      <c r="A12" s="749" t="s">
        <v>3</v>
      </c>
      <c r="B12" s="747">
        <v>18.858000000000001</v>
      </c>
      <c r="C12" s="82">
        <v>486.91</v>
      </c>
      <c r="D12" s="747">
        <v>77.525000000000006</v>
      </c>
      <c r="E12" s="82">
        <v>2677.3270000000002</v>
      </c>
      <c r="F12" s="747">
        <f t="shared" si="0"/>
        <v>96.38300000000001</v>
      </c>
      <c r="G12" s="82">
        <f t="shared" si="1"/>
        <v>3164.2370000000001</v>
      </c>
      <c r="H12" s="750" t="s">
        <v>15</v>
      </c>
    </row>
    <row r="13" spans="1:8" s="313" customFormat="1" ht="15" customHeight="1" x14ac:dyDescent="0.25">
      <c r="A13" s="545" t="s">
        <v>365</v>
      </c>
      <c r="B13" s="546">
        <v>13.509</v>
      </c>
      <c r="C13" s="480">
        <v>0</v>
      </c>
      <c r="D13" s="546">
        <v>21.32</v>
      </c>
      <c r="E13" s="480">
        <v>536.21299999999997</v>
      </c>
      <c r="F13" s="546">
        <f t="shared" si="0"/>
        <v>34.829000000000001</v>
      </c>
      <c r="G13" s="480">
        <f t="shared" si="1"/>
        <v>536.21299999999997</v>
      </c>
      <c r="H13" s="547" t="s">
        <v>359</v>
      </c>
    </row>
    <row r="14" spans="1:8" s="313" customFormat="1" ht="15" customHeight="1" x14ac:dyDescent="0.25">
      <c r="A14" s="749" t="s">
        <v>4</v>
      </c>
      <c r="B14" s="747">
        <v>408.77100000000002</v>
      </c>
      <c r="C14" s="82">
        <v>8626.2350000000006</v>
      </c>
      <c r="D14" s="747">
        <v>461.37799999999999</v>
      </c>
      <c r="E14" s="82">
        <v>11490.664000000001</v>
      </c>
      <c r="F14" s="747">
        <f t="shared" si="0"/>
        <v>870.149</v>
      </c>
      <c r="G14" s="82">
        <f t="shared" si="1"/>
        <v>20116.899000000001</v>
      </c>
      <c r="H14" s="750" t="s">
        <v>16</v>
      </c>
    </row>
    <row r="15" spans="1:8" s="313" customFormat="1" ht="15" customHeight="1" x14ac:dyDescent="0.25">
      <c r="A15" s="548" t="s">
        <v>5</v>
      </c>
      <c r="B15" s="546">
        <v>37.618000000000002</v>
      </c>
      <c r="C15" s="480">
        <v>365.00200000000001</v>
      </c>
      <c r="D15" s="546">
        <v>54.811999999999998</v>
      </c>
      <c r="E15" s="480">
        <v>959.91399999999999</v>
      </c>
      <c r="F15" s="546">
        <f t="shared" si="0"/>
        <v>92.43</v>
      </c>
      <c r="G15" s="480">
        <f t="shared" si="1"/>
        <v>1324.9159999999999</v>
      </c>
      <c r="H15" s="549" t="s">
        <v>23</v>
      </c>
    </row>
    <row r="16" spans="1:8" s="313" customFormat="1" ht="15" customHeight="1" x14ac:dyDescent="0.25">
      <c r="A16" s="749" t="s">
        <v>6</v>
      </c>
      <c r="B16" s="747">
        <v>1.6E-2</v>
      </c>
      <c r="C16" s="82">
        <v>0</v>
      </c>
      <c r="D16" s="747">
        <v>56.686</v>
      </c>
      <c r="E16" s="82">
        <v>878.82500000000005</v>
      </c>
      <c r="F16" s="747">
        <f t="shared" si="0"/>
        <v>56.701999999999998</v>
      </c>
      <c r="G16" s="82">
        <f t="shared" si="1"/>
        <v>878.82500000000005</v>
      </c>
      <c r="H16" s="750" t="s">
        <v>24</v>
      </c>
    </row>
    <row r="17" spans="1:8" s="313" customFormat="1" ht="15" customHeight="1" x14ac:dyDescent="0.25">
      <c r="A17" s="548" t="s">
        <v>11</v>
      </c>
      <c r="B17" s="546">
        <v>15.452999999999999</v>
      </c>
      <c r="C17" s="480">
        <v>213.93199999999999</v>
      </c>
      <c r="D17" s="546">
        <v>37.468000000000004</v>
      </c>
      <c r="E17" s="480">
        <v>554.38800000000003</v>
      </c>
      <c r="F17" s="546">
        <f t="shared" si="0"/>
        <v>52.921000000000006</v>
      </c>
      <c r="G17" s="480">
        <f t="shared" si="1"/>
        <v>768.32</v>
      </c>
      <c r="H17" s="549" t="s">
        <v>21</v>
      </c>
    </row>
    <row r="18" spans="1:8" s="313" customFormat="1" ht="15" customHeight="1" x14ac:dyDescent="0.25">
      <c r="A18" s="749" t="s">
        <v>2</v>
      </c>
      <c r="B18" s="747">
        <v>28.681999999999999</v>
      </c>
      <c r="C18" s="82">
        <v>443.45699999999999</v>
      </c>
      <c r="D18" s="747">
        <v>13.489000000000001</v>
      </c>
      <c r="E18" s="82">
        <f>D18*20</f>
        <v>269.78000000000003</v>
      </c>
      <c r="F18" s="747">
        <f t="shared" si="0"/>
        <v>42.170999999999999</v>
      </c>
      <c r="G18" s="82">
        <f t="shared" si="1"/>
        <v>713.23700000000008</v>
      </c>
      <c r="H18" s="750" t="s">
        <v>14</v>
      </c>
    </row>
    <row r="19" spans="1:8" s="313" customFormat="1" ht="15" customHeight="1" x14ac:dyDescent="0.25">
      <c r="A19" s="548" t="s">
        <v>7</v>
      </c>
      <c r="B19" s="546">
        <v>22.206</v>
      </c>
      <c r="C19" s="480">
        <v>405.17</v>
      </c>
      <c r="D19" s="546">
        <v>84.194999999999993</v>
      </c>
      <c r="E19" s="480">
        <v>1481.6769999999999</v>
      </c>
      <c r="F19" s="546">
        <f t="shared" si="0"/>
        <v>106.401</v>
      </c>
      <c r="G19" s="480">
        <f t="shared" si="1"/>
        <v>1886.847</v>
      </c>
      <c r="H19" s="549" t="s">
        <v>17</v>
      </c>
    </row>
    <row r="20" spans="1:8" s="313" customFormat="1" ht="15" customHeight="1" x14ac:dyDescent="0.25">
      <c r="A20" s="749" t="s">
        <v>8</v>
      </c>
      <c r="B20" s="747">
        <v>8.5000000000000006E-2</v>
      </c>
      <c r="C20" s="82">
        <v>0</v>
      </c>
      <c r="D20" s="747">
        <v>53.118000000000002</v>
      </c>
      <c r="E20" s="82">
        <v>1095.384</v>
      </c>
      <c r="F20" s="747">
        <f t="shared" si="0"/>
        <v>53.203000000000003</v>
      </c>
      <c r="G20" s="82">
        <f t="shared" si="1"/>
        <v>1095.384</v>
      </c>
      <c r="H20" s="750" t="s">
        <v>18</v>
      </c>
    </row>
    <row r="21" spans="1:8" s="313" customFormat="1" ht="15" customHeight="1" x14ac:dyDescent="0.25">
      <c r="A21" s="548" t="s">
        <v>9</v>
      </c>
      <c r="B21" s="546">
        <v>7.0789999999999997</v>
      </c>
      <c r="C21" s="480">
        <v>49.33</v>
      </c>
      <c r="D21" s="546">
        <v>49.73</v>
      </c>
      <c r="E21" s="480">
        <v>887.39099999999996</v>
      </c>
      <c r="F21" s="546">
        <f t="shared" si="0"/>
        <v>56.808999999999997</v>
      </c>
      <c r="G21" s="480">
        <f t="shared" si="1"/>
        <v>936.721</v>
      </c>
      <c r="H21" s="549" t="s">
        <v>19</v>
      </c>
    </row>
    <row r="22" spans="1:8" s="313" customFormat="1" ht="15" customHeight="1" x14ac:dyDescent="0.25">
      <c r="A22" s="749" t="s">
        <v>10</v>
      </c>
      <c r="B22" s="747">
        <v>48.975999999999999</v>
      </c>
      <c r="C22" s="82">
        <v>1481.6479999999999</v>
      </c>
      <c r="D22" s="747">
        <v>67.582999999999998</v>
      </c>
      <c r="E22" s="82">
        <v>1023.206</v>
      </c>
      <c r="F22" s="747">
        <f t="shared" si="0"/>
        <v>116.559</v>
      </c>
      <c r="G22" s="82">
        <f t="shared" si="1"/>
        <v>2504.8539999999998</v>
      </c>
      <c r="H22" s="750" t="s">
        <v>20</v>
      </c>
    </row>
    <row r="23" spans="1:8" s="313" customFormat="1" ht="15" customHeight="1" x14ac:dyDescent="0.25">
      <c r="A23" s="548" t="s">
        <v>12</v>
      </c>
      <c r="B23" s="546">
        <v>1.804</v>
      </c>
      <c r="C23" s="480">
        <f>B23*17</f>
        <v>30.667999999999999</v>
      </c>
      <c r="D23" s="546">
        <v>20.219000000000001</v>
      </c>
      <c r="E23" s="480">
        <v>211.01499999999999</v>
      </c>
      <c r="F23" s="546">
        <f t="shared" si="0"/>
        <v>22.023</v>
      </c>
      <c r="G23" s="480">
        <f t="shared" si="1"/>
        <v>241.68299999999999</v>
      </c>
      <c r="H23" s="549" t="s">
        <v>25</v>
      </c>
    </row>
    <row r="24" spans="1:8" s="313" customFormat="1" ht="15" customHeight="1" thickBot="1" x14ac:dyDescent="0.3">
      <c r="A24" s="749" t="s">
        <v>13</v>
      </c>
      <c r="B24" s="747">
        <v>7.1999999999999995E-2</v>
      </c>
      <c r="C24" s="82">
        <v>0</v>
      </c>
      <c r="D24" s="747">
        <v>112.23099999999999</v>
      </c>
      <c r="E24" s="82">
        <v>1187.153</v>
      </c>
      <c r="F24" s="747">
        <f t="shared" si="0"/>
        <v>112.303</v>
      </c>
      <c r="G24" s="82">
        <f t="shared" si="1"/>
        <v>1187.153</v>
      </c>
      <c r="H24" s="750" t="s">
        <v>22</v>
      </c>
    </row>
    <row r="25" spans="1:8" s="537" customFormat="1" ht="19.5" customHeight="1" thickBot="1" x14ac:dyDescent="0.3">
      <c r="A25" s="550" t="s">
        <v>0</v>
      </c>
      <c r="B25" s="551">
        <f t="shared" ref="B25:G25" si="2">SUM(B10:B24)</f>
        <v>620.34199999999998</v>
      </c>
      <c r="C25" s="551">
        <f t="shared" si="2"/>
        <v>12452.862000000001</v>
      </c>
      <c r="D25" s="551">
        <f t="shared" si="2"/>
        <v>1180.3320000000001</v>
      </c>
      <c r="E25" s="551">
        <f t="shared" si="2"/>
        <v>25217.594999999998</v>
      </c>
      <c r="F25" s="551">
        <f t="shared" si="2"/>
        <v>1800.674</v>
      </c>
      <c r="G25" s="535">
        <f t="shared" si="2"/>
        <v>37670.456999999995</v>
      </c>
      <c r="H25" s="550" t="s">
        <v>1</v>
      </c>
    </row>
    <row r="26" spans="1:8" ht="15" x14ac:dyDescent="0.2">
      <c r="A26" s="889"/>
      <c r="B26" s="889"/>
      <c r="C26" s="889"/>
      <c r="D26" s="889"/>
      <c r="E26" s="889"/>
      <c r="F26" s="889"/>
      <c r="G26" s="889"/>
      <c r="H26" s="889"/>
    </row>
    <row r="27" spans="1:8" ht="13.5" customHeight="1" x14ac:dyDescent="0.2"/>
  </sheetData>
  <mergeCells count="5">
    <mergeCell ref="G4:H4"/>
    <mergeCell ref="A1:H1"/>
    <mergeCell ref="A2:H3"/>
    <mergeCell ref="A5:B5"/>
    <mergeCell ref="A26:H26"/>
  </mergeCells>
  <phoneticPr fontId="3" type="noConversion"/>
  <printOptions horizontalCentered="1" verticalCentered="1"/>
  <pageMargins left="0.74803149606299202" right="1.07" top="0" bottom="0.98425196850393704" header="0.78740157480314998" footer="0.511811023622047"/>
  <pageSetup orientation="landscape" verticalDpi="300" r:id="rId1"/>
  <headerFooter alignWithMargins="0">
    <oddFooter>&amp;C30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opLeftCell="B1" workbookViewId="0">
      <selection activeCell="S32" sqref="S32"/>
    </sheetView>
  </sheetViews>
  <sheetFormatPr defaultRowHeight="12.75" x14ac:dyDescent="0.2"/>
  <cols>
    <col min="1" max="1" width="8" customWidth="1"/>
    <col min="2" max="2" width="5.5703125" customWidth="1"/>
    <col min="3" max="3" width="7.42578125" customWidth="1"/>
    <col min="4" max="4" width="6.85546875" customWidth="1"/>
    <col min="5" max="5" width="6.7109375" customWidth="1"/>
    <col min="6" max="6" width="7.7109375" customWidth="1"/>
    <col min="7" max="7" width="8" customWidth="1"/>
    <col min="8" max="8" width="8.5703125" customWidth="1"/>
    <col min="10" max="10" width="8.85546875" customWidth="1"/>
    <col min="11" max="11" width="8.28515625" customWidth="1"/>
    <col min="12" max="13" width="7.7109375" customWidth="1"/>
    <col min="14" max="14" width="7.42578125" customWidth="1"/>
    <col min="15" max="15" width="8" customWidth="1"/>
  </cols>
  <sheetData/>
  <phoneticPr fontId="3" type="noConversion"/>
  <pageMargins left="0.75" right="0.53" top="0.57999999999999996" bottom="1" header="0.74" footer="0.5"/>
  <pageSetup orientation="landscape" horizontalDpi="4294967293" verticalDpi="1200" r:id="rId1"/>
  <headerFooter alignWithMargins="0">
    <oddHeader>&amp;C&amp;P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L26"/>
  <sheetViews>
    <sheetView rightToLeft="1" zoomScaleNormal="100" zoomScaleSheetLayoutView="100" workbookViewId="0">
      <selection activeCell="J30" sqref="J30"/>
    </sheetView>
  </sheetViews>
  <sheetFormatPr defaultRowHeight="12.75" x14ac:dyDescent="0.2"/>
  <cols>
    <col min="1" max="1" width="10" customWidth="1"/>
    <col min="2" max="2" width="12.85546875" customWidth="1"/>
    <col min="3" max="3" width="14.42578125" customWidth="1"/>
    <col min="4" max="4" width="11.140625" customWidth="1"/>
    <col min="5" max="5" width="13.85546875" customWidth="1"/>
    <col min="6" max="6" width="11.42578125" customWidth="1"/>
    <col min="7" max="7" width="12.42578125" customWidth="1"/>
    <col min="8" max="8" width="12.140625" customWidth="1"/>
    <col min="9" max="9" width="14" customWidth="1"/>
    <col min="10" max="10" width="17.85546875" customWidth="1"/>
    <col min="11" max="11" width="0.85546875" hidden="1" customWidth="1"/>
    <col min="12" max="12" width="5.85546875" customWidth="1"/>
  </cols>
  <sheetData>
    <row r="1" spans="1:10" ht="15" x14ac:dyDescent="0.2">
      <c r="A1" s="850" t="s">
        <v>474</v>
      </c>
      <c r="B1" s="850"/>
      <c r="C1" s="850"/>
      <c r="D1" s="850"/>
      <c r="E1" s="850"/>
      <c r="F1" s="850"/>
      <c r="G1" s="850"/>
      <c r="H1" s="850"/>
      <c r="I1" s="850"/>
      <c r="J1" s="850"/>
    </row>
    <row r="2" spans="1:10" ht="15" x14ac:dyDescent="0.2">
      <c r="A2" s="852" t="s">
        <v>475</v>
      </c>
      <c r="B2" s="852"/>
      <c r="C2" s="852"/>
      <c r="D2" s="852"/>
      <c r="E2" s="852"/>
      <c r="F2" s="852"/>
      <c r="G2" s="852"/>
      <c r="H2" s="852"/>
      <c r="I2" s="852"/>
      <c r="J2" s="852"/>
    </row>
    <row r="3" spans="1:10" s="7" customFormat="1" ht="15" x14ac:dyDescent="0.2">
      <c r="A3" s="219"/>
      <c r="B3" s="219"/>
      <c r="C3" s="219"/>
      <c r="D3" s="219"/>
      <c r="E3" s="219"/>
      <c r="F3" s="219"/>
      <c r="G3" s="219"/>
      <c r="H3" s="219"/>
      <c r="I3" s="902" t="s">
        <v>215</v>
      </c>
      <c r="J3" s="902"/>
    </row>
    <row r="4" spans="1:10" ht="17.25" customHeight="1" thickBot="1" x14ac:dyDescent="0.3">
      <c r="A4" s="903" t="s">
        <v>418</v>
      </c>
      <c r="B4" s="903"/>
      <c r="C4" s="903"/>
      <c r="D4" s="67"/>
      <c r="E4" s="67"/>
      <c r="F4" s="25"/>
      <c r="G4" s="67"/>
      <c r="H4" s="67" t="s">
        <v>199</v>
      </c>
      <c r="I4" s="875" t="s">
        <v>335</v>
      </c>
      <c r="J4" s="875"/>
    </row>
    <row r="5" spans="1:10" ht="15" customHeight="1" x14ac:dyDescent="0.25">
      <c r="A5" s="9"/>
      <c r="B5" s="73" t="s">
        <v>44</v>
      </c>
      <c r="C5" s="73"/>
      <c r="D5" s="73" t="s">
        <v>112</v>
      </c>
      <c r="E5" s="73"/>
      <c r="F5" s="73" t="s">
        <v>113</v>
      </c>
      <c r="G5" s="73"/>
      <c r="H5" s="73" t="s">
        <v>0</v>
      </c>
      <c r="I5" s="117"/>
      <c r="J5" s="9"/>
    </row>
    <row r="6" spans="1:10" ht="15" customHeight="1" x14ac:dyDescent="0.25">
      <c r="A6" s="19"/>
      <c r="B6" s="33" t="s">
        <v>168</v>
      </c>
      <c r="C6" s="33"/>
      <c r="D6" s="33" t="s">
        <v>262</v>
      </c>
      <c r="E6" s="33"/>
      <c r="F6" s="33" t="s">
        <v>310</v>
      </c>
      <c r="G6" s="33"/>
      <c r="H6" s="33" t="s">
        <v>1</v>
      </c>
      <c r="I6" s="33"/>
      <c r="J6" s="19"/>
    </row>
    <row r="7" spans="1:10" s="161" customFormat="1" ht="15" customHeight="1" x14ac:dyDescent="0.2">
      <c r="A7" s="55"/>
      <c r="B7" s="345" t="s">
        <v>36</v>
      </c>
      <c r="C7" s="345" t="s">
        <v>238</v>
      </c>
      <c r="D7" s="345" t="s">
        <v>36</v>
      </c>
      <c r="E7" s="344" t="s">
        <v>238</v>
      </c>
      <c r="F7" s="345" t="s">
        <v>36</v>
      </c>
      <c r="G7" s="345" t="s">
        <v>238</v>
      </c>
      <c r="H7" s="345" t="s">
        <v>36</v>
      </c>
      <c r="I7" s="345" t="s">
        <v>238</v>
      </c>
      <c r="J7" s="55"/>
    </row>
    <row r="8" spans="1:10" s="367" customFormat="1" ht="15" customHeight="1" thickBot="1" x14ac:dyDescent="0.25">
      <c r="A8" s="390" t="s">
        <v>50</v>
      </c>
      <c r="B8" s="391" t="s">
        <v>157</v>
      </c>
      <c r="C8" s="391" t="s">
        <v>29</v>
      </c>
      <c r="D8" s="391" t="s">
        <v>157</v>
      </c>
      <c r="E8" s="391" t="s">
        <v>29</v>
      </c>
      <c r="F8" s="391" t="s">
        <v>157</v>
      </c>
      <c r="G8" s="391" t="s">
        <v>29</v>
      </c>
      <c r="H8" s="391" t="s">
        <v>157</v>
      </c>
      <c r="I8" s="391" t="s">
        <v>29</v>
      </c>
      <c r="J8" s="392" t="s">
        <v>26</v>
      </c>
    </row>
    <row r="9" spans="1:10" s="362" customFormat="1" ht="15" customHeight="1" x14ac:dyDescent="0.25">
      <c r="A9" s="34" t="s">
        <v>380</v>
      </c>
      <c r="B9" s="81">
        <v>9432</v>
      </c>
      <c r="C9" s="82">
        <v>887234</v>
      </c>
      <c r="D9" s="81">
        <v>1620</v>
      </c>
      <c r="E9" s="82">
        <v>171892</v>
      </c>
      <c r="F9" s="81">
        <v>91</v>
      </c>
      <c r="G9" s="82">
        <v>34163</v>
      </c>
      <c r="H9" s="81">
        <f>B9+D9+F9</f>
        <v>11143</v>
      </c>
      <c r="I9" s="81">
        <f>C9+E9+G9</f>
        <v>1093289</v>
      </c>
      <c r="J9" s="16" t="s">
        <v>381</v>
      </c>
    </row>
    <row r="10" spans="1:10" s="161" customFormat="1" ht="15" customHeight="1" x14ac:dyDescent="0.25">
      <c r="A10" s="55" t="s">
        <v>30</v>
      </c>
      <c r="B10" s="84">
        <v>25960</v>
      </c>
      <c r="C10" s="163">
        <v>2512364</v>
      </c>
      <c r="D10" s="84">
        <v>0</v>
      </c>
      <c r="E10" s="163">
        <v>0</v>
      </c>
      <c r="F10" s="84">
        <v>559</v>
      </c>
      <c r="G10" s="163">
        <v>108341</v>
      </c>
      <c r="H10" s="84">
        <f t="shared" ref="H10:H23" si="0">B10+D10+F10</f>
        <v>26519</v>
      </c>
      <c r="I10" s="84">
        <f t="shared" ref="I10:I23" si="1">C10+E10+G10</f>
        <v>2620705</v>
      </c>
      <c r="J10" s="56" t="s">
        <v>31</v>
      </c>
    </row>
    <row r="11" spans="1:10" s="315" customFormat="1" ht="15" customHeight="1" x14ac:dyDescent="0.25">
      <c r="A11" s="15" t="s">
        <v>3</v>
      </c>
      <c r="B11" s="81">
        <v>31696</v>
      </c>
      <c r="C11" s="82">
        <v>2948455</v>
      </c>
      <c r="D11" s="81">
        <v>7446</v>
      </c>
      <c r="E11" s="82">
        <v>762047</v>
      </c>
      <c r="F11" s="81">
        <v>1268</v>
      </c>
      <c r="G11" s="82">
        <v>183968</v>
      </c>
      <c r="H11" s="81">
        <f t="shared" si="0"/>
        <v>40410</v>
      </c>
      <c r="I11" s="81">
        <f t="shared" si="1"/>
        <v>3894470</v>
      </c>
      <c r="J11" s="54" t="s">
        <v>15</v>
      </c>
    </row>
    <row r="12" spans="1:10" s="161" customFormat="1" ht="15" customHeight="1" x14ac:dyDescent="0.25">
      <c r="A12" s="674" t="s">
        <v>365</v>
      </c>
      <c r="B12" s="84">
        <v>8768</v>
      </c>
      <c r="C12" s="163">
        <v>794277</v>
      </c>
      <c r="D12" s="84">
        <v>4662</v>
      </c>
      <c r="E12" s="163">
        <v>456785</v>
      </c>
      <c r="F12" s="84">
        <v>237</v>
      </c>
      <c r="G12" s="163">
        <v>64689</v>
      </c>
      <c r="H12" s="84">
        <f t="shared" si="0"/>
        <v>13667</v>
      </c>
      <c r="I12" s="84">
        <f t="shared" si="1"/>
        <v>1315751</v>
      </c>
      <c r="J12" s="676" t="s">
        <v>359</v>
      </c>
    </row>
    <row r="13" spans="1:10" s="315" customFormat="1" ht="15" customHeight="1" x14ac:dyDescent="0.25">
      <c r="A13" s="15" t="s">
        <v>4</v>
      </c>
      <c r="B13" s="81">
        <v>162595</v>
      </c>
      <c r="C13" s="82">
        <v>17362655</v>
      </c>
      <c r="D13" s="81">
        <v>41086</v>
      </c>
      <c r="E13" s="82">
        <v>5356024</v>
      </c>
      <c r="F13" s="81">
        <v>9110</v>
      </c>
      <c r="G13" s="82">
        <v>1949243</v>
      </c>
      <c r="H13" s="81">
        <f t="shared" si="0"/>
        <v>212791</v>
      </c>
      <c r="I13" s="81">
        <f t="shared" si="1"/>
        <v>24667922</v>
      </c>
      <c r="J13" s="54" t="s">
        <v>16</v>
      </c>
    </row>
    <row r="14" spans="1:10" s="161" customFormat="1" ht="15" customHeight="1" x14ac:dyDescent="0.25">
      <c r="A14" s="674" t="s">
        <v>5</v>
      </c>
      <c r="B14" s="84">
        <v>25393</v>
      </c>
      <c r="C14" s="163">
        <v>2426472</v>
      </c>
      <c r="D14" s="84">
        <v>6716</v>
      </c>
      <c r="E14" s="163">
        <v>655372</v>
      </c>
      <c r="F14" s="84">
        <v>1133</v>
      </c>
      <c r="G14" s="163">
        <v>224375</v>
      </c>
      <c r="H14" s="84">
        <f t="shared" si="0"/>
        <v>33242</v>
      </c>
      <c r="I14" s="84">
        <f t="shared" si="1"/>
        <v>3306219</v>
      </c>
      <c r="J14" s="676" t="s">
        <v>23</v>
      </c>
    </row>
    <row r="15" spans="1:10" s="315" customFormat="1" ht="15" customHeight="1" x14ac:dyDescent="0.25">
      <c r="A15" s="15" t="s">
        <v>6</v>
      </c>
      <c r="B15" s="81">
        <v>25240</v>
      </c>
      <c r="C15" s="82">
        <v>2214686</v>
      </c>
      <c r="D15" s="81">
        <v>6102</v>
      </c>
      <c r="E15" s="82">
        <v>722562</v>
      </c>
      <c r="F15" s="81">
        <v>602</v>
      </c>
      <c r="G15" s="82">
        <v>117427</v>
      </c>
      <c r="H15" s="81">
        <f t="shared" si="0"/>
        <v>31944</v>
      </c>
      <c r="I15" s="81">
        <f t="shared" si="1"/>
        <v>3054675</v>
      </c>
      <c r="J15" s="54" t="s">
        <v>24</v>
      </c>
    </row>
    <row r="16" spans="1:10" s="161" customFormat="1" ht="15" customHeight="1" x14ac:dyDescent="0.25">
      <c r="A16" s="674" t="s">
        <v>11</v>
      </c>
      <c r="B16" s="84">
        <v>19126</v>
      </c>
      <c r="C16" s="163">
        <v>1576923</v>
      </c>
      <c r="D16" s="84">
        <v>3879</v>
      </c>
      <c r="E16" s="163">
        <v>328250</v>
      </c>
      <c r="F16" s="84">
        <v>402</v>
      </c>
      <c r="G16" s="163">
        <v>78774</v>
      </c>
      <c r="H16" s="84">
        <f t="shared" si="0"/>
        <v>23407</v>
      </c>
      <c r="I16" s="84">
        <f t="shared" si="1"/>
        <v>1983947</v>
      </c>
      <c r="J16" s="676" t="s">
        <v>21</v>
      </c>
    </row>
    <row r="17" spans="1:12" s="315" customFormat="1" ht="15" customHeight="1" x14ac:dyDescent="0.25">
      <c r="A17" s="15" t="s">
        <v>2</v>
      </c>
      <c r="B17" s="81">
        <v>15099</v>
      </c>
      <c r="C17" s="82">
        <v>1580108</v>
      </c>
      <c r="D17" s="81">
        <v>347</v>
      </c>
      <c r="E17" s="82">
        <v>38560</v>
      </c>
      <c r="F17" s="81">
        <v>388</v>
      </c>
      <c r="G17" s="82">
        <v>95654</v>
      </c>
      <c r="H17" s="81">
        <f t="shared" si="0"/>
        <v>15834</v>
      </c>
      <c r="I17" s="81">
        <f t="shared" si="1"/>
        <v>1714322</v>
      </c>
      <c r="J17" s="54" t="s">
        <v>14</v>
      </c>
    </row>
    <row r="18" spans="1:12" s="161" customFormat="1" ht="15" customHeight="1" x14ac:dyDescent="0.25">
      <c r="A18" s="674" t="s">
        <v>7</v>
      </c>
      <c r="B18" s="84">
        <v>34464</v>
      </c>
      <c r="C18" s="163">
        <v>4960573</v>
      </c>
      <c r="D18" s="84">
        <v>7361</v>
      </c>
      <c r="E18" s="163">
        <v>770598</v>
      </c>
      <c r="F18" s="84">
        <v>1145</v>
      </c>
      <c r="G18" s="163">
        <v>177535</v>
      </c>
      <c r="H18" s="84">
        <f t="shared" si="0"/>
        <v>42970</v>
      </c>
      <c r="I18" s="84">
        <f t="shared" si="1"/>
        <v>5908706</v>
      </c>
      <c r="J18" s="676" t="s">
        <v>17</v>
      </c>
    </row>
    <row r="19" spans="1:12" s="315" customFormat="1" ht="15" customHeight="1" x14ac:dyDescent="0.25">
      <c r="A19" s="15" t="s">
        <v>8</v>
      </c>
      <c r="B19" s="81">
        <v>23409</v>
      </c>
      <c r="C19" s="82">
        <v>2052672</v>
      </c>
      <c r="D19" s="81">
        <v>3601</v>
      </c>
      <c r="E19" s="82">
        <v>367052</v>
      </c>
      <c r="F19" s="81">
        <v>468</v>
      </c>
      <c r="G19" s="82">
        <v>86210</v>
      </c>
      <c r="H19" s="81">
        <f t="shared" si="0"/>
        <v>27478</v>
      </c>
      <c r="I19" s="81">
        <f t="shared" si="1"/>
        <v>2505934</v>
      </c>
      <c r="J19" s="54" t="s">
        <v>18</v>
      </c>
    </row>
    <row r="20" spans="1:12" s="161" customFormat="1" ht="15" customHeight="1" x14ac:dyDescent="0.25">
      <c r="A20" s="674" t="s">
        <v>9</v>
      </c>
      <c r="B20" s="84">
        <v>23157</v>
      </c>
      <c r="C20" s="163">
        <v>1996018</v>
      </c>
      <c r="D20" s="84">
        <v>2437</v>
      </c>
      <c r="E20" s="163">
        <v>243431</v>
      </c>
      <c r="F20" s="84">
        <v>166</v>
      </c>
      <c r="G20" s="163">
        <v>22200</v>
      </c>
      <c r="H20" s="84">
        <f t="shared" si="0"/>
        <v>25760</v>
      </c>
      <c r="I20" s="84">
        <f t="shared" si="1"/>
        <v>2261649</v>
      </c>
      <c r="J20" s="676" t="s">
        <v>19</v>
      </c>
    </row>
    <row r="21" spans="1:12" s="315" customFormat="1" ht="15" customHeight="1" x14ac:dyDescent="0.25">
      <c r="A21" s="15" t="s">
        <v>10</v>
      </c>
      <c r="B21" s="81">
        <v>26027</v>
      </c>
      <c r="C21" s="82">
        <v>2175740</v>
      </c>
      <c r="D21" s="81">
        <v>4571</v>
      </c>
      <c r="E21" s="82">
        <v>420877</v>
      </c>
      <c r="F21" s="81">
        <v>953</v>
      </c>
      <c r="G21" s="82">
        <v>167107</v>
      </c>
      <c r="H21" s="81">
        <f t="shared" si="0"/>
        <v>31551</v>
      </c>
      <c r="I21" s="81">
        <f t="shared" si="1"/>
        <v>2763724</v>
      </c>
      <c r="J21" s="54" t="s">
        <v>20</v>
      </c>
    </row>
    <row r="22" spans="1:12" s="684" customFormat="1" ht="15" customHeight="1" x14ac:dyDescent="0.25">
      <c r="A22" s="674" t="s">
        <v>12</v>
      </c>
      <c r="B22" s="84">
        <v>5429</v>
      </c>
      <c r="C22" s="163">
        <v>488602</v>
      </c>
      <c r="D22" s="84">
        <v>1495</v>
      </c>
      <c r="E22" s="163">
        <v>220440</v>
      </c>
      <c r="F22" s="84">
        <v>60</v>
      </c>
      <c r="G22" s="163">
        <v>7263</v>
      </c>
      <c r="H22" s="84">
        <f t="shared" si="0"/>
        <v>6984</v>
      </c>
      <c r="I22" s="84">
        <f t="shared" si="1"/>
        <v>716305</v>
      </c>
      <c r="J22" s="676" t="s">
        <v>25</v>
      </c>
    </row>
    <row r="23" spans="1:12" s="315" customFormat="1" ht="15" customHeight="1" thickBot="1" x14ac:dyDescent="0.3">
      <c r="A23" s="15" t="s">
        <v>13</v>
      </c>
      <c r="B23" s="81">
        <v>35826</v>
      </c>
      <c r="C23" s="82">
        <v>3945670</v>
      </c>
      <c r="D23" s="81">
        <v>13230</v>
      </c>
      <c r="E23" s="82">
        <v>1542317</v>
      </c>
      <c r="F23" s="81">
        <v>718</v>
      </c>
      <c r="G23" s="82">
        <v>60348</v>
      </c>
      <c r="H23" s="81">
        <f t="shared" si="0"/>
        <v>49774</v>
      </c>
      <c r="I23" s="81">
        <f t="shared" si="1"/>
        <v>5548335</v>
      </c>
      <c r="J23" s="54" t="s">
        <v>22</v>
      </c>
    </row>
    <row r="24" spans="1:12" s="369" customFormat="1" ht="15" customHeight="1" thickBot="1" x14ac:dyDescent="0.25">
      <c r="A24" s="393" t="s">
        <v>0</v>
      </c>
      <c r="B24" s="368">
        <f t="shared" ref="B24:I24" si="2">SUM(B9:B23)</f>
        <v>471621</v>
      </c>
      <c r="C24" s="368">
        <f t="shared" si="2"/>
        <v>47922449</v>
      </c>
      <c r="D24" s="368">
        <f t="shared" si="2"/>
        <v>104553</v>
      </c>
      <c r="E24" s="368">
        <f t="shared" si="2"/>
        <v>12056207</v>
      </c>
      <c r="F24" s="368">
        <f t="shared" si="2"/>
        <v>17300</v>
      </c>
      <c r="G24" s="368">
        <f t="shared" si="2"/>
        <v>3377297</v>
      </c>
      <c r="H24" s="368">
        <f t="shared" si="2"/>
        <v>593474</v>
      </c>
      <c r="I24" s="368">
        <f t="shared" si="2"/>
        <v>63355953</v>
      </c>
      <c r="J24" s="376" t="s">
        <v>1</v>
      </c>
    </row>
    <row r="25" spans="1:12" ht="15" x14ac:dyDescent="0.2">
      <c r="A25" s="889"/>
      <c r="B25" s="889"/>
      <c r="C25" s="889"/>
      <c r="D25" s="889"/>
      <c r="E25" s="889"/>
      <c r="F25" s="889"/>
      <c r="G25" s="889"/>
      <c r="H25" s="889"/>
      <c r="I25" s="7"/>
      <c r="J25" s="197"/>
      <c r="L25" s="6"/>
    </row>
    <row r="26" spans="1:12" ht="12.75" customHeight="1" x14ac:dyDescent="0.2">
      <c r="J26" s="57"/>
    </row>
  </sheetData>
  <mergeCells count="6">
    <mergeCell ref="A25:H25"/>
    <mergeCell ref="I3:J3"/>
    <mergeCell ref="A1:J1"/>
    <mergeCell ref="A2:J2"/>
    <mergeCell ref="A4:C4"/>
    <mergeCell ref="I4:J4"/>
  </mergeCells>
  <phoneticPr fontId="3" type="noConversion"/>
  <printOptions horizontalCentered="1" verticalCentered="1"/>
  <pageMargins left="0.55000000000000004" right="0.55000000000000004" top="0.02" bottom="0.98425196850393704" header="0.78740157480314998" footer="0.511811023622047"/>
  <pageSetup scale="96" orientation="landscape" verticalDpi="300" r:id="rId1"/>
  <headerFooter alignWithMargins="0">
    <oddFooter>&amp;C32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7"/>
  <sheetViews>
    <sheetView rightToLeft="1" zoomScaleSheetLayoutView="100" workbookViewId="0">
      <selection activeCell="G29" sqref="G29"/>
    </sheetView>
  </sheetViews>
  <sheetFormatPr defaultRowHeight="12.75" x14ac:dyDescent="0.2"/>
  <cols>
    <col min="1" max="1" width="11.28515625" customWidth="1"/>
    <col min="2" max="2" width="10.140625" bestFit="1" customWidth="1"/>
    <col min="3" max="3" width="14.140625" customWidth="1"/>
    <col min="4" max="4" width="9.28515625" bestFit="1" customWidth="1"/>
    <col min="5" max="5" width="14" customWidth="1"/>
    <col min="6" max="6" width="10.140625" bestFit="1" customWidth="1"/>
    <col min="7" max="7" width="14.5703125" customWidth="1"/>
    <col min="8" max="8" width="17.28515625" customWidth="1"/>
    <col min="9" max="9" width="1" hidden="1" customWidth="1"/>
    <col min="10" max="10" width="1.42578125" hidden="1" customWidth="1"/>
  </cols>
  <sheetData>
    <row r="1" spans="1:9" ht="15" x14ac:dyDescent="0.2">
      <c r="A1" s="905" t="s">
        <v>474</v>
      </c>
      <c r="B1" s="905"/>
      <c r="C1" s="905"/>
      <c r="D1" s="905"/>
      <c r="E1" s="905"/>
      <c r="F1" s="905"/>
      <c r="G1" s="905"/>
      <c r="H1" s="905"/>
    </row>
    <row r="2" spans="1:9" x14ac:dyDescent="0.2">
      <c r="A2" s="906" t="s">
        <v>476</v>
      </c>
      <c r="B2" s="906"/>
      <c r="C2" s="906"/>
      <c r="D2" s="906"/>
      <c r="E2" s="906"/>
      <c r="F2" s="906"/>
      <c r="G2" s="906"/>
      <c r="H2" s="906"/>
    </row>
    <row r="3" spans="1:9" ht="17.25" customHeight="1" x14ac:dyDescent="0.2">
      <c r="A3" s="906"/>
      <c r="B3" s="906"/>
      <c r="C3" s="906"/>
      <c r="D3" s="906"/>
      <c r="E3" s="906"/>
      <c r="F3" s="906"/>
      <c r="G3" s="906"/>
      <c r="H3" s="906"/>
    </row>
    <row r="4" spans="1:9" s="7" customFormat="1" ht="17.25" customHeight="1" x14ac:dyDescent="0.2">
      <c r="A4" s="224"/>
      <c r="B4" s="224"/>
      <c r="C4" s="224"/>
      <c r="D4" s="224"/>
      <c r="E4" s="224"/>
      <c r="F4" s="224"/>
      <c r="G4" s="902" t="s">
        <v>215</v>
      </c>
      <c r="H4" s="902"/>
    </row>
    <row r="5" spans="1:9" ht="17.25" customHeight="1" thickBot="1" x14ac:dyDescent="0.3">
      <c r="A5" s="904" t="s">
        <v>424</v>
      </c>
      <c r="B5" s="904"/>
      <c r="C5" s="108" t="s">
        <v>174</v>
      </c>
      <c r="D5" s="19"/>
      <c r="E5" s="19"/>
      <c r="F5" s="109"/>
      <c r="G5" s="110" t="s">
        <v>336</v>
      </c>
      <c r="H5" s="111" t="s">
        <v>335</v>
      </c>
      <c r="I5" s="3"/>
    </row>
    <row r="6" spans="1:9" ht="15" customHeight="1" x14ac:dyDescent="0.25">
      <c r="A6" s="9"/>
      <c r="B6" s="115" t="s">
        <v>45</v>
      </c>
      <c r="C6" s="115"/>
      <c r="D6" s="115" t="s">
        <v>44</v>
      </c>
      <c r="E6" s="115"/>
      <c r="F6" s="115" t="s">
        <v>0</v>
      </c>
      <c r="G6" s="116"/>
      <c r="H6" s="115"/>
    </row>
    <row r="7" spans="1:9" ht="15" customHeight="1" x14ac:dyDescent="0.25">
      <c r="A7" s="19"/>
      <c r="B7" s="112" t="s">
        <v>169</v>
      </c>
      <c r="C7" s="112"/>
      <c r="D7" s="176" t="s">
        <v>168</v>
      </c>
      <c r="E7" s="112"/>
      <c r="F7" s="176" t="s">
        <v>1</v>
      </c>
      <c r="G7" s="113"/>
      <c r="H7" s="112"/>
    </row>
    <row r="8" spans="1:9" ht="15" customHeight="1" x14ac:dyDescent="0.2">
      <c r="A8" s="451"/>
      <c r="B8" s="452" t="s">
        <v>36</v>
      </c>
      <c r="C8" s="452" t="s">
        <v>238</v>
      </c>
      <c r="D8" s="452" t="s">
        <v>36</v>
      </c>
      <c r="E8" s="452" t="s">
        <v>238</v>
      </c>
      <c r="F8" s="452" t="s">
        <v>36</v>
      </c>
      <c r="G8" s="452" t="s">
        <v>238</v>
      </c>
      <c r="H8" s="114"/>
    </row>
    <row r="9" spans="1:9" s="400" customFormat="1" ht="15" customHeight="1" thickBot="1" x14ac:dyDescent="0.25">
      <c r="A9" s="453" t="s">
        <v>51</v>
      </c>
      <c r="B9" s="454" t="s">
        <v>157</v>
      </c>
      <c r="C9" s="455" t="s">
        <v>29</v>
      </c>
      <c r="D9" s="455" t="s">
        <v>157</v>
      </c>
      <c r="E9" s="455" t="s">
        <v>29</v>
      </c>
      <c r="F9" s="455" t="s">
        <v>157</v>
      </c>
      <c r="G9" s="455" t="s">
        <v>29</v>
      </c>
      <c r="H9" s="111" t="s">
        <v>26</v>
      </c>
    </row>
    <row r="10" spans="1:9" s="485" customFormat="1" ht="15" customHeight="1" x14ac:dyDescent="0.25">
      <c r="A10" s="552" t="s">
        <v>380</v>
      </c>
      <c r="B10" s="689">
        <v>3045</v>
      </c>
      <c r="C10" s="497">
        <v>269450</v>
      </c>
      <c r="D10" s="689">
        <v>1980</v>
      </c>
      <c r="E10" s="497">
        <v>144971</v>
      </c>
      <c r="F10" s="689">
        <f>B10+D10</f>
        <v>5025</v>
      </c>
      <c r="G10" s="497">
        <f>C10+E10</f>
        <v>414421</v>
      </c>
      <c r="H10" s="553" t="s">
        <v>381</v>
      </c>
    </row>
    <row r="11" spans="1:9" s="315" customFormat="1" ht="15" customHeight="1" x14ac:dyDescent="0.25">
      <c r="A11" s="685" t="s">
        <v>30</v>
      </c>
      <c r="B11" s="690">
        <v>19464</v>
      </c>
      <c r="C11" s="309">
        <v>1440739</v>
      </c>
      <c r="D11" s="690">
        <v>11551</v>
      </c>
      <c r="E11" s="309">
        <v>712898</v>
      </c>
      <c r="F11" s="690">
        <f t="shared" ref="F11:F24" si="0">B11+D11</f>
        <v>31015</v>
      </c>
      <c r="G11" s="309">
        <f t="shared" ref="G11:G24" si="1">C11+E11</f>
        <v>2153637</v>
      </c>
      <c r="H11" s="686" t="s">
        <v>31</v>
      </c>
    </row>
    <row r="12" spans="1:9" s="313" customFormat="1" ht="15" customHeight="1" x14ac:dyDescent="0.25">
      <c r="A12" s="554" t="s">
        <v>3</v>
      </c>
      <c r="B12" s="689">
        <v>29735</v>
      </c>
      <c r="C12" s="497">
        <v>3914903</v>
      </c>
      <c r="D12" s="689">
        <v>6732</v>
      </c>
      <c r="E12" s="497">
        <v>281317</v>
      </c>
      <c r="F12" s="689">
        <f t="shared" si="0"/>
        <v>36467</v>
      </c>
      <c r="G12" s="497">
        <f t="shared" si="1"/>
        <v>4196220</v>
      </c>
      <c r="H12" s="555" t="s">
        <v>15</v>
      </c>
    </row>
    <row r="13" spans="1:9" s="315" customFormat="1" ht="15" customHeight="1" x14ac:dyDescent="0.25">
      <c r="A13" s="685" t="s">
        <v>365</v>
      </c>
      <c r="B13" s="690">
        <v>7770</v>
      </c>
      <c r="C13" s="309">
        <f>B13*82</f>
        <v>637140</v>
      </c>
      <c r="D13" s="690">
        <v>903</v>
      </c>
      <c r="E13" s="309">
        <v>63337</v>
      </c>
      <c r="F13" s="690">
        <f t="shared" si="0"/>
        <v>8673</v>
      </c>
      <c r="G13" s="309">
        <f t="shared" si="1"/>
        <v>700477</v>
      </c>
      <c r="H13" s="686" t="s">
        <v>359</v>
      </c>
    </row>
    <row r="14" spans="1:9" s="313" customFormat="1" ht="15" customHeight="1" x14ac:dyDescent="0.25">
      <c r="A14" s="554" t="s">
        <v>4</v>
      </c>
      <c r="B14" s="689">
        <v>153949</v>
      </c>
      <c r="C14" s="497">
        <f>B14*82</f>
        <v>12623818</v>
      </c>
      <c r="D14" s="689">
        <v>10566</v>
      </c>
      <c r="E14" s="497">
        <v>765058</v>
      </c>
      <c r="F14" s="689">
        <f t="shared" si="0"/>
        <v>164515</v>
      </c>
      <c r="G14" s="497">
        <f t="shared" si="1"/>
        <v>13388876</v>
      </c>
      <c r="H14" s="555" t="s">
        <v>16</v>
      </c>
    </row>
    <row r="15" spans="1:9" s="315" customFormat="1" ht="15" customHeight="1" x14ac:dyDescent="0.25">
      <c r="A15" s="687" t="s">
        <v>5</v>
      </c>
      <c r="B15" s="690">
        <v>7929</v>
      </c>
      <c r="C15" s="309">
        <f>B15*82</f>
        <v>650178</v>
      </c>
      <c r="D15" s="690">
        <v>1379</v>
      </c>
      <c r="E15" s="309">
        <v>56793</v>
      </c>
      <c r="F15" s="690">
        <f t="shared" si="0"/>
        <v>9308</v>
      </c>
      <c r="G15" s="309">
        <f t="shared" si="1"/>
        <v>706971</v>
      </c>
      <c r="H15" s="688" t="s">
        <v>23</v>
      </c>
    </row>
    <row r="16" spans="1:9" s="313" customFormat="1" ht="15" customHeight="1" x14ac:dyDescent="0.25">
      <c r="A16" s="554" t="s">
        <v>6</v>
      </c>
      <c r="B16" s="689">
        <v>14201</v>
      </c>
      <c r="C16" s="497">
        <v>867348</v>
      </c>
      <c r="D16" s="689">
        <v>1423</v>
      </c>
      <c r="E16" s="497">
        <v>83516</v>
      </c>
      <c r="F16" s="689">
        <f t="shared" si="0"/>
        <v>15624</v>
      </c>
      <c r="G16" s="497">
        <f t="shared" si="1"/>
        <v>950864</v>
      </c>
      <c r="H16" s="555" t="s">
        <v>24</v>
      </c>
    </row>
    <row r="17" spans="1:10" s="315" customFormat="1" ht="15" customHeight="1" x14ac:dyDescent="0.25">
      <c r="A17" s="687" t="s">
        <v>11</v>
      </c>
      <c r="B17" s="690">
        <v>5427</v>
      </c>
      <c r="C17" s="309">
        <v>279618</v>
      </c>
      <c r="D17" s="690">
        <v>875</v>
      </c>
      <c r="E17" s="309">
        <v>43807</v>
      </c>
      <c r="F17" s="690">
        <f t="shared" si="0"/>
        <v>6302</v>
      </c>
      <c r="G17" s="309">
        <f t="shared" si="1"/>
        <v>323425</v>
      </c>
      <c r="H17" s="688" t="s">
        <v>21</v>
      </c>
    </row>
    <row r="18" spans="1:10" s="313" customFormat="1" ht="15" customHeight="1" x14ac:dyDescent="0.25">
      <c r="A18" s="554" t="s">
        <v>2</v>
      </c>
      <c r="B18" s="689">
        <v>7286</v>
      </c>
      <c r="C18" s="497">
        <v>469355</v>
      </c>
      <c r="D18" s="689">
        <v>5008</v>
      </c>
      <c r="E18" s="497">
        <v>366884</v>
      </c>
      <c r="F18" s="689">
        <f t="shared" si="0"/>
        <v>12294</v>
      </c>
      <c r="G18" s="497">
        <f t="shared" si="1"/>
        <v>836239</v>
      </c>
      <c r="H18" s="555" t="s">
        <v>14</v>
      </c>
    </row>
    <row r="19" spans="1:10" s="315" customFormat="1" ht="15" customHeight="1" x14ac:dyDescent="0.25">
      <c r="A19" s="687" t="s">
        <v>7</v>
      </c>
      <c r="B19" s="690">
        <v>15342</v>
      </c>
      <c r="C19" s="309">
        <v>975870</v>
      </c>
      <c r="D19" s="690">
        <v>2018</v>
      </c>
      <c r="E19" s="309">
        <f>D19*60</f>
        <v>121080</v>
      </c>
      <c r="F19" s="690">
        <f t="shared" si="0"/>
        <v>17360</v>
      </c>
      <c r="G19" s="309">
        <f t="shared" si="1"/>
        <v>1096950</v>
      </c>
      <c r="H19" s="688" t="s">
        <v>17</v>
      </c>
    </row>
    <row r="20" spans="1:10" s="313" customFormat="1" ht="15" customHeight="1" x14ac:dyDescent="0.25">
      <c r="A20" s="554" t="s">
        <v>8</v>
      </c>
      <c r="B20" s="689">
        <v>2168</v>
      </c>
      <c r="C20" s="497">
        <v>193290</v>
      </c>
      <c r="D20" s="689">
        <v>781</v>
      </c>
      <c r="E20" s="497">
        <v>86781</v>
      </c>
      <c r="F20" s="689">
        <f t="shared" si="0"/>
        <v>2949</v>
      </c>
      <c r="G20" s="497">
        <f t="shared" si="1"/>
        <v>280071</v>
      </c>
      <c r="H20" s="555" t="s">
        <v>18</v>
      </c>
    </row>
    <row r="21" spans="1:10" s="315" customFormat="1" ht="15" customHeight="1" x14ac:dyDescent="0.25">
      <c r="A21" s="687" t="s">
        <v>9</v>
      </c>
      <c r="B21" s="690">
        <v>3458</v>
      </c>
      <c r="C21" s="309">
        <v>387833</v>
      </c>
      <c r="D21" s="690">
        <v>3149</v>
      </c>
      <c r="E21" s="309">
        <v>256867</v>
      </c>
      <c r="F21" s="690">
        <f t="shared" si="0"/>
        <v>6607</v>
      </c>
      <c r="G21" s="309">
        <f t="shared" si="1"/>
        <v>644700</v>
      </c>
      <c r="H21" s="688" t="s">
        <v>19</v>
      </c>
    </row>
    <row r="22" spans="1:10" s="313" customFormat="1" ht="15" customHeight="1" x14ac:dyDescent="0.25">
      <c r="A22" s="554" t="s">
        <v>10</v>
      </c>
      <c r="B22" s="689">
        <v>3722</v>
      </c>
      <c r="C22" s="497">
        <v>386471</v>
      </c>
      <c r="D22" s="689">
        <v>1587</v>
      </c>
      <c r="E22" s="497">
        <v>85740</v>
      </c>
      <c r="F22" s="689">
        <f t="shared" si="0"/>
        <v>5309</v>
      </c>
      <c r="G22" s="497">
        <f t="shared" si="1"/>
        <v>472211</v>
      </c>
      <c r="H22" s="555" t="s">
        <v>20</v>
      </c>
    </row>
    <row r="23" spans="1:10" s="315" customFormat="1" ht="15" customHeight="1" x14ac:dyDescent="0.25">
      <c r="A23" s="687" t="s">
        <v>12</v>
      </c>
      <c r="B23" s="690">
        <v>1877</v>
      </c>
      <c r="C23" s="309">
        <v>147458</v>
      </c>
      <c r="D23" s="690">
        <v>327</v>
      </c>
      <c r="E23" s="309">
        <v>33240</v>
      </c>
      <c r="F23" s="690">
        <f t="shared" si="0"/>
        <v>2204</v>
      </c>
      <c r="G23" s="309">
        <f t="shared" si="1"/>
        <v>180698</v>
      </c>
      <c r="H23" s="688" t="s">
        <v>25</v>
      </c>
    </row>
    <row r="24" spans="1:10" s="313" customFormat="1" ht="15" customHeight="1" thickBot="1" x14ac:dyDescent="0.3">
      <c r="A24" s="554" t="s">
        <v>13</v>
      </c>
      <c r="B24" s="689">
        <v>27367</v>
      </c>
      <c r="C24" s="497">
        <f>B24*82</f>
        <v>2244094</v>
      </c>
      <c r="D24" s="689">
        <v>2717</v>
      </c>
      <c r="E24" s="497">
        <v>196221</v>
      </c>
      <c r="F24" s="689">
        <f t="shared" si="0"/>
        <v>30084</v>
      </c>
      <c r="G24" s="497">
        <f t="shared" si="1"/>
        <v>2440315</v>
      </c>
      <c r="H24" s="555" t="s">
        <v>22</v>
      </c>
    </row>
    <row r="25" spans="1:10" s="537" customFormat="1" ht="16.5" customHeight="1" thickBot="1" x14ac:dyDescent="0.3">
      <c r="A25" s="556" t="s">
        <v>0</v>
      </c>
      <c r="B25" s="691">
        <f t="shared" ref="B25:G25" si="2">SUM(B10:B24)</f>
        <v>302740</v>
      </c>
      <c r="C25" s="691">
        <f t="shared" si="2"/>
        <v>25487565</v>
      </c>
      <c r="D25" s="691">
        <f t="shared" si="2"/>
        <v>50996</v>
      </c>
      <c r="E25" s="691">
        <f t="shared" si="2"/>
        <v>3298510</v>
      </c>
      <c r="F25" s="691">
        <f t="shared" si="2"/>
        <v>353736</v>
      </c>
      <c r="G25" s="692">
        <f t="shared" si="2"/>
        <v>28786075</v>
      </c>
      <c r="H25" s="556" t="s">
        <v>1</v>
      </c>
    </row>
    <row r="26" spans="1:10" ht="33.75" customHeight="1" x14ac:dyDescent="0.2">
      <c r="A26" s="889"/>
      <c r="B26" s="889"/>
      <c r="C26" s="889"/>
      <c r="D26" s="889"/>
      <c r="E26" s="7"/>
      <c r="F26" s="7"/>
      <c r="G26" s="7"/>
      <c r="H26" s="907"/>
      <c r="I26" s="907"/>
      <c r="J26" s="6"/>
    </row>
    <row r="27" spans="1:10" ht="15" customHeight="1" x14ac:dyDescent="0.2">
      <c r="B27" s="233"/>
      <c r="C27" s="233"/>
      <c r="D27" s="233"/>
      <c r="E27" s="233"/>
      <c r="F27" s="233"/>
      <c r="G27" s="233"/>
      <c r="H27" s="233"/>
    </row>
  </sheetData>
  <mergeCells count="6">
    <mergeCell ref="G4:H4"/>
    <mergeCell ref="A5:B5"/>
    <mergeCell ref="A1:H1"/>
    <mergeCell ref="A2:H3"/>
    <mergeCell ref="H26:I26"/>
    <mergeCell ref="A26:D26"/>
  </mergeCells>
  <phoneticPr fontId="3" type="noConversion"/>
  <printOptions horizontalCentered="1" verticalCentered="1"/>
  <pageMargins left="0.74803149606299202" right="1.2" top="1.0374015750000001" bottom="0.98425196850393704" header="0.78740157480314998" footer="0.511811023622047"/>
  <pageSetup orientation="landscape" verticalDpi="300" r:id="rId1"/>
  <headerFooter alignWithMargins="0">
    <oddFooter>&amp;C33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zoomScaleNormal="100" zoomScaleSheetLayoutView="100" workbookViewId="0">
      <selection activeCell="P10" sqref="P10"/>
    </sheetView>
  </sheetViews>
  <sheetFormatPr defaultRowHeight="12.75" x14ac:dyDescent="0.2"/>
  <sheetData/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95" orientation="landscape" horizontalDpi="4294967293" verticalDpi="1200" r:id="rId1"/>
  <headerFooter alignWithMargins="0">
    <oddFooter>&amp;C34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27"/>
  <sheetViews>
    <sheetView rightToLeft="1" showWhiteSpace="0" zoomScaleSheetLayoutView="91" workbookViewId="0">
      <selection activeCell="F20" sqref="F20"/>
    </sheetView>
  </sheetViews>
  <sheetFormatPr defaultRowHeight="12.75" x14ac:dyDescent="0.2"/>
  <cols>
    <col min="1" max="1" width="8.7109375" customWidth="1"/>
    <col min="2" max="2" width="12.85546875" style="184" customWidth="1"/>
    <col min="3" max="3" width="11.7109375" style="6" customWidth="1"/>
    <col min="4" max="4" width="11.85546875" style="6" customWidth="1"/>
    <col min="5" max="5" width="13.28515625" style="6" customWidth="1"/>
    <col min="6" max="6" width="12.140625" style="6" customWidth="1"/>
    <col min="7" max="7" width="13.5703125" style="6" customWidth="1"/>
    <col min="8" max="8" width="8.85546875" style="6" customWidth="1"/>
    <col min="9" max="9" width="11.5703125" style="6" customWidth="1"/>
    <col min="10" max="10" width="16.140625" customWidth="1"/>
    <col min="11" max="11" width="0.28515625" hidden="1" customWidth="1"/>
    <col min="12" max="12" width="11.7109375" customWidth="1"/>
  </cols>
  <sheetData>
    <row r="1" spans="1:13" ht="15" x14ac:dyDescent="0.25">
      <c r="A1" s="850" t="s">
        <v>477</v>
      </c>
      <c r="B1" s="850"/>
      <c r="C1" s="850"/>
      <c r="D1" s="850"/>
      <c r="E1" s="850"/>
      <c r="F1" s="850"/>
      <c r="G1" s="850"/>
      <c r="H1" s="850"/>
      <c r="I1" s="850"/>
      <c r="J1" s="850"/>
      <c r="K1" s="19"/>
    </row>
    <row r="2" spans="1:13" ht="15" x14ac:dyDescent="0.25">
      <c r="A2" s="852" t="s">
        <v>471</v>
      </c>
      <c r="B2" s="852"/>
      <c r="C2" s="852"/>
      <c r="D2" s="852"/>
      <c r="E2" s="852"/>
      <c r="F2" s="852"/>
      <c r="G2" s="852"/>
      <c r="H2" s="852"/>
      <c r="I2" s="852"/>
      <c r="J2" s="852"/>
      <c r="K2" s="19"/>
    </row>
    <row r="3" spans="1:13" s="7" customFormat="1" ht="15" x14ac:dyDescent="0.25">
      <c r="A3" s="219"/>
      <c r="B3" s="763"/>
      <c r="C3" s="219"/>
      <c r="D3" s="219"/>
      <c r="E3" s="219"/>
      <c r="F3" s="219"/>
      <c r="G3" s="219"/>
      <c r="H3" s="219"/>
      <c r="I3" s="873" t="s">
        <v>215</v>
      </c>
      <c r="J3" s="873"/>
      <c r="K3" s="19"/>
    </row>
    <row r="4" spans="1:13" ht="15.75" customHeight="1" thickBot="1" x14ac:dyDescent="0.3">
      <c r="A4" s="859" t="s">
        <v>419</v>
      </c>
      <c r="B4" s="859"/>
      <c r="C4" s="903" t="s">
        <v>281</v>
      </c>
      <c r="D4" s="903"/>
      <c r="E4" s="118"/>
      <c r="F4" s="118"/>
      <c r="G4" s="63"/>
      <c r="H4" s="63"/>
      <c r="I4" s="63" t="s">
        <v>337</v>
      </c>
      <c r="J4" s="60" t="s">
        <v>335</v>
      </c>
      <c r="K4" s="42"/>
      <c r="L4" s="3"/>
    </row>
    <row r="5" spans="1:13" ht="15" customHeight="1" x14ac:dyDescent="0.25">
      <c r="A5" s="39"/>
      <c r="B5" s="764" t="s">
        <v>44</v>
      </c>
      <c r="C5" s="120"/>
      <c r="D5" s="120" t="s">
        <v>59</v>
      </c>
      <c r="E5" s="120"/>
      <c r="F5" s="120" t="s">
        <v>60</v>
      </c>
      <c r="G5" s="120"/>
      <c r="H5" s="120" t="s">
        <v>62</v>
      </c>
      <c r="I5" s="121"/>
      <c r="J5" s="27"/>
      <c r="K5" s="40"/>
    </row>
    <row r="6" spans="1:13" ht="15" customHeight="1" x14ac:dyDescent="0.25">
      <c r="A6" s="42"/>
      <c r="B6" s="763" t="s">
        <v>168</v>
      </c>
      <c r="C6" s="119"/>
      <c r="D6" s="119" t="s">
        <v>356</v>
      </c>
      <c r="E6" s="119"/>
      <c r="F6" s="119" t="s">
        <v>286</v>
      </c>
      <c r="G6" s="119"/>
      <c r="H6" s="119" t="s">
        <v>285</v>
      </c>
      <c r="I6" s="48"/>
      <c r="J6" s="41"/>
      <c r="K6" s="41"/>
      <c r="M6" s="7"/>
    </row>
    <row r="7" spans="1:13" s="363" customFormat="1" ht="15" customHeight="1" x14ac:dyDescent="0.25">
      <c r="A7" s="166"/>
      <c r="B7" s="765" t="s">
        <v>194</v>
      </c>
      <c r="C7" s="55" t="s">
        <v>238</v>
      </c>
      <c r="D7" s="55" t="s">
        <v>194</v>
      </c>
      <c r="E7" s="55" t="s">
        <v>238</v>
      </c>
      <c r="F7" s="55" t="s">
        <v>194</v>
      </c>
      <c r="G7" s="55" t="s">
        <v>238</v>
      </c>
      <c r="H7" s="55" t="s">
        <v>194</v>
      </c>
      <c r="I7" s="55" t="s">
        <v>238</v>
      </c>
      <c r="J7" s="166"/>
      <c r="K7" s="165"/>
    </row>
    <row r="8" spans="1:13" s="367" customFormat="1" ht="15" customHeight="1" thickBot="1" x14ac:dyDescent="0.3">
      <c r="A8" s="364" t="s">
        <v>58</v>
      </c>
      <c r="B8" s="766" t="s">
        <v>132</v>
      </c>
      <c r="C8" s="461" t="s">
        <v>29</v>
      </c>
      <c r="D8" s="461" t="s">
        <v>132</v>
      </c>
      <c r="E8" s="461" t="s">
        <v>29</v>
      </c>
      <c r="F8" s="461" t="s">
        <v>132</v>
      </c>
      <c r="G8" s="461" t="s">
        <v>29</v>
      </c>
      <c r="H8" s="461" t="s">
        <v>132</v>
      </c>
      <c r="I8" s="461" t="s">
        <v>29</v>
      </c>
      <c r="J8" s="395" t="s">
        <v>26</v>
      </c>
      <c r="K8" s="460"/>
    </row>
    <row r="9" spans="1:13" s="485" customFormat="1" ht="15" customHeight="1" x14ac:dyDescent="0.25">
      <c r="A9" s="478" t="s">
        <v>380</v>
      </c>
      <c r="B9" s="479">
        <v>246</v>
      </c>
      <c r="C9" s="479">
        <v>3691</v>
      </c>
      <c r="D9" s="480">
        <v>422</v>
      </c>
      <c r="E9" s="480">
        <f t="shared" ref="E9:E14" si="0">D9*14</f>
        <v>5908</v>
      </c>
      <c r="F9" s="481">
        <v>536</v>
      </c>
      <c r="G9" s="480">
        <v>8594</v>
      </c>
      <c r="H9" s="482">
        <v>0</v>
      </c>
      <c r="I9" s="480">
        <v>0</v>
      </c>
      <c r="J9" s="483" t="s">
        <v>381</v>
      </c>
      <c r="K9" s="484"/>
    </row>
    <row r="10" spans="1:13" s="315" customFormat="1" ht="15" customHeight="1" x14ac:dyDescent="0.25">
      <c r="A10" s="673" t="s">
        <v>30</v>
      </c>
      <c r="B10" s="85">
        <v>30</v>
      </c>
      <c r="C10" s="85">
        <v>333</v>
      </c>
      <c r="D10" s="82">
        <v>1873</v>
      </c>
      <c r="E10" s="82">
        <f t="shared" si="0"/>
        <v>26222</v>
      </c>
      <c r="F10" s="693">
        <v>1216</v>
      </c>
      <c r="G10" s="82">
        <v>17005</v>
      </c>
      <c r="H10" s="694">
        <v>0</v>
      </c>
      <c r="I10" s="82">
        <v>0</v>
      </c>
      <c r="J10" s="10" t="s">
        <v>31</v>
      </c>
      <c r="K10" s="9"/>
    </row>
    <row r="11" spans="1:13" s="313" customFormat="1" ht="15" customHeight="1" x14ac:dyDescent="0.25">
      <c r="A11" s="486" t="s">
        <v>3</v>
      </c>
      <c r="B11" s="479">
        <v>1271</v>
      </c>
      <c r="C11" s="479">
        <v>12686</v>
      </c>
      <c r="D11" s="480">
        <v>2672</v>
      </c>
      <c r="E11" s="480">
        <f t="shared" si="0"/>
        <v>37408</v>
      </c>
      <c r="F11" s="481">
        <v>2050</v>
      </c>
      <c r="G11" s="480">
        <v>30761</v>
      </c>
      <c r="H11" s="482">
        <v>0</v>
      </c>
      <c r="I11" s="480">
        <v>0</v>
      </c>
      <c r="J11" s="487" t="s">
        <v>15</v>
      </c>
      <c r="K11" s="312"/>
    </row>
    <row r="12" spans="1:13" s="315" customFormat="1" ht="15" customHeight="1" x14ac:dyDescent="0.25">
      <c r="A12" s="673" t="s">
        <v>365</v>
      </c>
      <c r="B12" s="85">
        <v>218</v>
      </c>
      <c r="C12" s="85">
        <f>B12*11</f>
        <v>2398</v>
      </c>
      <c r="D12" s="82">
        <v>576</v>
      </c>
      <c r="E12" s="82">
        <f t="shared" si="0"/>
        <v>8064</v>
      </c>
      <c r="F12" s="693">
        <v>820</v>
      </c>
      <c r="G12" s="82">
        <v>15596</v>
      </c>
      <c r="H12" s="694">
        <v>0</v>
      </c>
      <c r="I12" s="82">
        <v>0</v>
      </c>
      <c r="J12" s="10" t="s">
        <v>359</v>
      </c>
      <c r="K12" s="9"/>
    </row>
    <row r="13" spans="1:13" s="313" customFormat="1" ht="15" customHeight="1" x14ac:dyDescent="0.25">
      <c r="A13" s="486" t="s">
        <v>4</v>
      </c>
      <c r="B13" s="479">
        <v>5361</v>
      </c>
      <c r="C13" s="479">
        <v>53379</v>
      </c>
      <c r="D13" s="480">
        <v>15005</v>
      </c>
      <c r="E13" s="480">
        <f t="shared" si="0"/>
        <v>210070</v>
      </c>
      <c r="F13" s="481">
        <v>8915</v>
      </c>
      <c r="G13" s="480">
        <v>133786</v>
      </c>
      <c r="H13" s="482">
        <v>354</v>
      </c>
      <c r="I13" s="480">
        <v>8750</v>
      </c>
      <c r="J13" s="487" t="s">
        <v>16</v>
      </c>
      <c r="K13" s="312"/>
    </row>
    <row r="14" spans="1:13" s="315" customFormat="1" ht="15" customHeight="1" x14ac:dyDescent="0.25">
      <c r="A14" s="695" t="s">
        <v>5</v>
      </c>
      <c r="B14" s="85">
        <v>1215</v>
      </c>
      <c r="C14" s="85">
        <f>B14*11</f>
        <v>13365</v>
      </c>
      <c r="D14" s="82">
        <v>2649</v>
      </c>
      <c r="E14" s="82">
        <f t="shared" si="0"/>
        <v>37086</v>
      </c>
      <c r="F14" s="693">
        <v>1110</v>
      </c>
      <c r="G14" s="82">
        <v>25545</v>
      </c>
      <c r="H14" s="694">
        <v>79</v>
      </c>
      <c r="I14" s="82">
        <v>1444</v>
      </c>
      <c r="J14" s="647" t="s">
        <v>23</v>
      </c>
      <c r="K14" s="9"/>
    </row>
    <row r="15" spans="1:13" s="313" customFormat="1" ht="15" customHeight="1" x14ac:dyDescent="0.25">
      <c r="A15" s="486" t="s">
        <v>6</v>
      </c>
      <c r="B15" s="479">
        <v>29</v>
      </c>
      <c r="C15" s="479">
        <f>B15*11</f>
        <v>319</v>
      </c>
      <c r="D15" s="480">
        <v>2257</v>
      </c>
      <c r="E15" s="480">
        <v>56462</v>
      </c>
      <c r="F15" s="481">
        <v>1124</v>
      </c>
      <c r="G15" s="480">
        <v>28078</v>
      </c>
      <c r="H15" s="482">
        <v>31</v>
      </c>
      <c r="I15" s="480">
        <f>H15*25</f>
        <v>775</v>
      </c>
      <c r="J15" s="487" t="s">
        <v>24</v>
      </c>
      <c r="K15" s="312"/>
    </row>
    <row r="16" spans="1:13" s="315" customFormat="1" ht="18" customHeight="1" x14ac:dyDescent="0.25">
      <c r="A16" s="695" t="s">
        <v>11</v>
      </c>
      <c r="B16" s="85">
        <v>624</v>
      </c>
      <c r="C16" s="85">
        <f>B16*11</f>
        <v>6864</v>
      </c>
      <c r="D16" s="82">
        <v>826</v>
      </c>
      <c r="E16" s="82">
        <f>D16*14</f>
        <v>11564</v>
      </c>
      <c r="F16" s="693">
        <v>905</v>
      </c>
      <c r="G16" s="82">
        <v>9946</v>
      </c>
      <c r="H16" s="694">
        <v>74</v>
      </c>
      <c r="I16" s="82">
        <v>2018</v>
      </c>
      <c r="J16" s="647" t="s">
        <v>21</v>
      </c>
      <c r="K16" s="9"/>
    </row>
    <row r="17" spans="1:11" s="313" customFormat="1" ht="18" customHeight="1" x14ac:dyDescent="0.25">
      <c r="A17" s="486" t="s">
        <v>2</v>
      </c>
      <c r="B17" s="479">
        <v>12</v>
      </c>
      <c r="C17" s="479">
        <v>122</v>
      </c>
      <c r="D17" s="480">
        <v>650</v>
      </c>
      <c r="E17" s="480">
        <v>7141</v>
      </c>
      <c r="F17" s="481">
        <v>833</v>
      </c>
      <c r="G17" s="480">
        <v>9992</v>
      </c>
      <c r="H17" s="482">
        <v>0</v>
      </c>
      <c r="I17" s="480">
        <v>0</v>
      </c>
      <c r="J17" s="488" t="s">
        <v>14</v>
      </c>
      <c r="K17" s="312"/>
    </row>
    <row r="18" spans="1:11" s="315" customFormat="1" ht="15" customHeight="1" x14ac:dyDescent="0.25">
      <c r="A18" s="695" t="s">
        <v>7</v>
      </c>
      <c r="B18" s="85">
        <v>820</v>
      </c>
      <c r="C18" s="85">
        <v>9029</v>
      </c>
      <c r="D18" s="82">
        <v>3230</v>
      </c>
      <c r="E18" s="82">
        <f>D18*14</f>
        <v>45220</v>
      </c>
      <c r="F18" s="693">
        <v>2008</v>
      </c>
      <c r="G18" s="82">
        <v>26065</v>
      </c>
      <c r="H18" s="694">
        <v>0</v>
      </c>
      <c r="I18" s="82">
        <v>0</v>
      </c>
      <c r="J18" s="647" t="s">
        <v>17</v>
      </c>
      <c r="K18" s="9"/>
    </row>
    <row r="19" spans="1:11" s="313" customFormat="1" ht="15" customHeight="1" x14ac:dyDescent="0.25">
      <c r="A19" s="486" t="s">
        <v>8</v>
      </c>
      <c r="B19" s="479">
        <v>562</v>
      </c>
      <c r="C19" s="479">
        <v>5639</v>
      </c>
      <c r="D19" s="480">
        <v>1036</v>
      </c>
      <c r="E19" s="480">
        <v>12459</v>
      </c>
      <c r="F19" s="481">
        <v>932</v>
      </c>
      <c r="G19" s="480">
        <v>10258</v>
      </c>
      <c r="H19" s="482">
        <v>0</v>
      </c>
      <c r="I19" s="480">
        <v>0</v>
      </c>
      <c r="J19" s="487" t="s">
        <v>18</v>
      </c>
      <c r="K19" s="312"/>
    </row>
    <row r="20" spans="1:11" s="315" customFormat="1" ht="14.25" customHeight="1" x14ac:dyDescent="0.25">
      <c r="A20" s="695" t="s">
        <v>9</v>
      </c>
      <c r="B20" s="85">
        <v>644</v>
      </c>
      <c r="C20" s="85">
        <f>B20*11</f>
        <v>7084</v>
      </c>
      <c r="D20" s="82">
        <v>581</v>
      </c>
      <c r="E20" s="82">
        <f>D20*14</f>
        <v>8134</v>
      </c>
      <c r="F20" s="693">
        <v>973</v>
      </c>
      <c r="G20" s="82">
        <v>9729</v>
      </c>
      <c r="H20" s="694">
        <v>0</v>
      </c>
      <c r="I20" s="82">
        <v>0</v>
      </c>
      <c r="J20" s="647" t="s">
        <v>19</v>
      </c>
      <c r="K20" s="9"/>
    </row>
    <row r="21" spans="1:11" s="313" customFormat="1" ht="12.75" customHeight="1" x14ac:dyDescent="0.25">
      <c r="A21" s="486" t="s">
        <v>10</v>
      </c>
      <c r="B21" s="479">
        <v>1567</v>
      </c>
      <c r="C21" s="479">
        <f>B21*11</f>
        <v>17237</v>
      </c>
      <c r="D21" s="480">
        <v>1683</v>
      </c>
      <c r="E21" s="480">
        <f>D21*14</f>
        <v>23562</v>
      </c>
      <c r="F21" s="481">
        <v>1896</v>
      </c>
      <c r="G21" s="480">
        <v>26534</v>
      </c>
      <c r="H21" s="482">
        <v>0</v>
      </c>
      <c r="I21" s="480">
        <v>0</v>
      </c>
      <c r="J21" s="487" t="s">
        <v>20</v>
      </c>
      <c r="K21" s="312"/>
    </row>
    <row r="22" spans="1:11" s="315" customFormat="1" ht="15" customHeight="1" x14ac:dyDescent="0.25">
      <c r="A22" s="695" t="s">
        <v>12</v>
      </c>
      <c r="B22" s="85">
        <v>154</v>
      </c>
      <c r="C22" s="85">
        <v>1700</v>
      </c>
      <c r="D22" s="82">
        <v>106</v>
      </c>
      <c r="E22" s="82">
        <v>961</v>
      </c>
      <c r="F22" s="693">
        <v>345</v>
      </c>
      <c r="G22" s="82">
        <v>4840</v>
      </c>
      <c r="H22" s="694">
        <v>14</v>
      </c>
      <c r="I22" s="82">
        <v>340</v>
      </c>
      <c r="J22" s="647" t="s">
        <v>25</v>
      </c>
      <c r="K22" s="9"/>
    </row>
    <row r="23" spans="1:11" s="313" customFormat="1" ht="15" customHeight="1" thickBot="1" x14ac:dyDescent="0.3">
      <c r="A23" s="486" t="s">
        <v>13</v>
      </c>
      <c r="B23" s="479">
        <v>2236</v>
      </c>
      <c r="C23" s="479">
        <f>B23*11</f>
        <v>24596</v>
      </c>
      <c r="D23" s="480">
        <v>2064</v>
      </c>
      <c r="E23" s="480">
        <f>D23*14</f>
        <v>28896</v>
      </c>
      <c r="F23" s="481">
        <v>2634</v>
      </c>
      <c r="G23" s="480">
        <v>31609</v>
      </c>
      <c r="H23" s="482">
        <v>9</v>
      </c>
      <c r="I23" s="480">
        <v>198</v>
      </c>
      <c r="J23" s="487" t="s">
        <v>22</v>
      </c>
      <c r="K23" s="312"/>
    </row>
    <row r="24" spans="1:11" s="161" customFormat="1" ht="17.25" customHeight="1" thickBot="1" x14ac:dyDescent="0.3">
      <c r="A24" s="202" t="s">
        <v>0</v>
      </c>
      <c r="B24" s="194">
        <v>14989</v>
      </c>
      <c r="C24" s="194">
        <f>SUM(C9:C23)</f>
        <v>158442</v>
      </c>
      <c r="D24" s="194">
        <f t="shared" ref="D24:I24" si="1">SUM(D9:D23)</f>
        <v>35630</v>
      </c>
      <c r="E24" s="194">
        <f>SUM(E9:E23)</f>
        <v>519157</v>
      </c>
      <c r="F24" s="194">
        <f>SUM(F9:F23)</f>
        <v>26297</v>
      </c>
      <c r="G24" s="194">
        <f t="shared" si="1"/>
        <v>388338</v>
      </c>
      <c r="H24" s="194">
        <f t="shared" si="1"/>
        <v>561</v>
      </c>
      <c r="I24" s="194">
        <f t="shared" si="1"/>
        <v>13525</v>
      </c>
      <c r="J24" s="203" t="s">
        <v>1</v>
      </c>
      <c r="K24" s="71"/>
    </row>
    <row r="25" spans="1:11" s="7" customFormat="1" ht="17.25" customHeight="1" thickTop="1" x14ac:dyDescent="0.25">
      <c r="A25" s="889"/>
      <c r="B25" s="889"/>
      <c r="C25" s="889"/>
      <c r="D25" s="889"/>
      <c r="E25" s="889"/>
      <c r="F25" s="889"/>
      <c r="G25" s="889"/>
      <c r="H25" s="889"/>
      <c r="I25" s="84"/>
      <c r="J25" s="56"/>
      <c r="K25" s="19"/>
    </row>
    <row r="26" spans="1:11" ht="14.25" x14ac:dyDescent="0.2">
      <c r="C26" s="7"/>
      <c r="D26" s="7"/>
      <c r="E26" s="7"/>
      <c r="F26" s="7"/>
      <c r="G26" s="7"/>
      <c r="J26" s="197"/>
    </row>
    <row r="27" spans="1:11" ht="16.5" customHeight="1" x14ac:dyDescent="0.25">
      <c r="A27" s="908"/>
      <c r="B27" s="908"/>
      <c r="C27" s="7"/>
      <c r="D27" s="7"/>
      <c r="E27" s="7"/>
      <c r="F27" s="7"/>
      <c r="G27" s="79"/>
      <c r="I27" s="909"/>
      <c r="J27" s="909"/>
    </row>
  </sheetData>
  <mergeCells count="8">
    <mergeCell ref="I3:J3"/>
    <mergeCell ref="A27:B27"/>
    <mergeCell ref="I27:J27"/>
    <mergeCell ref="A1:J1"/>
    <mergeCell ref="A2:J2"/>
    <mergeCell ref="A4:B4"/>
    <mergeCell ref="C4:D4"/>
    <mergeCell ref="A25:H25"/>
  </mergeCells>
  <phoneticPr fontId="3" type="noConversion"/>
  <printOptions horizontalCentered="1" verticalCentered="1"/>
  <pageMargins left="0.77" right="0.75" top="0.65" bottom="0.98425196850393704" header="0.89" footer="0.511811023622047"/>
  <pageSetup scale="99" orientation="landscape" verticalDpi="300" r:id="rId1"/>
  <headerFooter alignWithMargins="0">
    <oddFooter>&amp;C35</oddFooter>
  </headerFooter>
  <cellWatches>
    <cellWatch r="C9"/>
  </cellWatche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34"/>
  <sheetViews>
    <sheetView rightToLeft="1" zoomScaleSheetLayoutView="95" workbookViewId="0">
      <selection activeCell="I18" sqref="I18"/>
    </sheetView>
  </sheetViews>
  <sheetFormatPr defaultRowHeight="12.75" x14ac:dyDescent="0.2"/>
  <cols>
    <col min="1" max="2" width="9.5703125" customWidth="1"/>
    <col min="3" max="3" width="10.85546875" customWidth="1"/>
    <col min="4" max="4" width="9.42578125" customWidth="1"/>
    <col min="5" max="5" width="11" customWidth="1"/>
    <col min="6" max="6" width="10.28515625" customWidth="1"/>
    <col min="7" max="7" width="11.85546875" customWidth="1"/>
    <col min="8" max="8" width="0.28515625" style="7" customWidth="1"/>
    <col min="9" max="9" width="12.5703125" customWidth="1"/>
    <col min="10" max="10" width="16.7109375" customWidth="1"/>
    <col min="11" max="11" width="13.7109375" customWidth="1"/>
    <col min="12" max="12" width="6.7109375" customWidth="1"/>
  </cols>
  <sheetData>
    <row r="1" spans="1:14" ht="15" customHeight="1" x14ac:dyDescent="0.2">
      <c r="A1" s="850" t="s">
        <v>478</v>
      </c>
      <c r="B1" s="850"/>
      <c r="C1" s="850"/>
      <c r="D1" s="850"/>
      <c r="E1" s="850"/>
      <c r="F1" s="850"/>
      <c r="G1" s="850"/>
      <c r="H1" s="850"/>
      <c r="I1" s="850"/>
      <c r="J1" s="850"/>
      <c r="K1" s="850"/>
    </row>
    <row r="2" spans="1:14" ht="12.75" customHeight="1" x14ac:dyDescent="0.2">
      <c r="A2" s="894" t="s">
        <v>479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t="s">
        <v>367</v>
      </c>
    </row>
    <row r="3" spans="1:14" s="7" customFormat="1" ht="12.75" customHeight="1" x14ac:dyDescent="0.25">
      <c r="A3" s="219"/>
      <c r="B3" s="219"/>
      <c r="C3" s="219"/>
      <c r="D3" s="219"/>
      <c r="E3" s="219"/>
      <c r="F3" s="219"/>
      <c r="G3" s="219"/>
      <c r="H3" s="670"/>
      <c r="I3" s="219"/>
      <c r="J3" s="873" t="s">
        <v>215</v>
      </c>
      <c r="K3" s="873"/>
    </row>
    <row r="4" spans="1:14" ht="31.5" customHeight="1" thickBot="1" x14ac:dyDescent="0.3">
      <c r="A4" s="859" t="s">
        <v>417</v>
      </c>
      <c r="B4" s="859"/>
      <c r="C4" s="903" t="s">
        <v>281</v>
      </c>
      <c r="D4" s="903"/>
      <c r="E4" s="23"/>
      <c r="F4" s="25"/>
      <c r="G4" s="25"/>
      <c r="H4" s="42"/>
      <c r="I4" s="23"/>
      <c r="J4" s="63" t="s">
        <v>287</v>
      </c>
      <c r="K4" s="240" t="s">
        <v>338</v>
      </c>
    </row>
    <row r="5" spans="1:14" ht="30" customHeight="1" x14ac:dyDescent="0.25">
      <c r="A5" s="9"/>
      <c r="B5" s="38" t="s">
        <v>63</v>
      </c>
      <c r="C5" s="37"/>
      <c r="D5" s="38" t="s">
        <v>61</v>
      </c>
      <c r="E5" s="37"/>
      <c r="F5" s="38" t="s">
        <v>64</v>
      </c>
      <c r="G5" s="37"/>
      <c r="H5" s="37"/>
      <c r="I5" s="73" t="s">
        <v>0</v>
      </c>
      <c r="J5" s="117"/>
      <c r="K5" s="9"/>
    </row>
    <row r="6" spans="1:14" ht="29.25" customHeight="1" x14ac:dyDescent="0.25">
      <c r="A6" s="19"/>
      <c r="B6" s="40" t="s">
        <v>212</v>
      </c>
      <c r="C6" s="40"/>
      <c r="D6" s="185" t="s">
        <v>288</v>
      </c>
      <c r="E6" s="40"/>
      <c r="F6" s="172" t="s">
        <v>213</v>
      </c>
      <c r="G6" s="40"/>
      <c r="H6" s="40"/>
      <c r="I6" s="24" t="s">
        <v>1</v>
      </c>
      <c r="J6" s="33"/>
      <c r="K6" s="19"/>
    </row>
    <row r="7" spans="1:14" s="363" customFormat="1" ht="12.75" customHeight="1" x14ac:dyDescent="0.2">
      <c r="A7" s="166"/>
      <c r="B7" s="346" t="s">
        <v>235</v>
      </c>
      <c r="C7" s="346" t="s">
        <v>238</v>
      </c>
      <c r="D7" s="346" t="s">
        <v>235</v>
      </c>
      <c r="E7" s="346" t="s">
        <v>238</v>
      </c>
      <c r="F7" s="346" t="s">
        <v>235</v>
      </c>
      <c r="G7" s="346" t="s">
        <v>238</v>
      </c>
      <c r="H7" s="671"/>
      <c r="I7" s="346" t="s">
        <v>235</v>
      </c>
      <c r="J7" s="347" t="s">
        <v>238</v>
      </c>
      <c r="K7" s="344"/>
    </row>
    <row r="8" spans="1:14" s="399" customFormat="1" ht="15" customHeight="1" thickBot="1" x14ac:dyDescent="0.25">
      <c r="A8" s="396" t="s">
        <v>58</v>
      </c>
      <c r="B8" s="397" t="s">
        <v>132</v>
      </c>
      <c r="C8" s="397" t="s">
        <v>289</v>
      </c>
      <c r="D8" s="397" t="s">
        <v>132</v>
      </c>
      <c r="E8" s="397" t="s">
        <v>289</v>
      </c>
      <c r="F8" s="397" t="s">
        <v>132</v>
      </c>
      <c r="G8" s="397" t="s">
        <v>29</v>
      </c>
      <c r="H8" s="397"/>
      <c r="I8" s="397" t="s">
        <v>236</v>
      </c>
      <c r="J8" s="397" t="s">
        <v>191</v>
      </c>
      <c r="K8" s="398" t="s">
        <v>26</v>
      </c>
    </row>
    <row r="9" spans="1:14" s="313" customFormat="1" ht="15" customHeight="1" x14ac:dyDescent="0.25">
      <c r="A9" s="478" t="s">
        <v>380</v>
      </c>
      <c r="B9" s="557">
        <v>0</v>
      </c>
      <c r="C9" s="480">
        <v>0</v>
      </c>
      <c r="D9" s="558">
        <v>0</v>
      </c>
      <c r="E9" s="558">
        <f>D9*42</f>
        <v>0</v>
      </c>
      <c r="F9" s="559">
        <v>0</v>
      </c>
      <c r="G9" s="480">
        <v>0</v>
      </c>
      <c r="H9" s="480"/>
      <c r="I9" s="559">
        <f>كاشي!B9+كاشي!D9+كاشي!F9+كاشي!H9+كاشي2!B9+كاشي2!D9+كاشي2!F9</f>
        <v>1204</v>
      </c>
      <c r="J9" s="559">
        <f>كاشي!C9+كاشي!E9+كاشي!G9+كاشي!I9+كاشي2!C9+كاشي2!E9+كاشي2!G9</f>
        <v>18193</v>
      </c>
      <c r="K9" s="483" t="s">
        <v>381</v>
      </c>
      <c r="N9" s="499"/>
    </row>
    <row r="10" spans="1:14" s="315" customFormat="1" ht="15" customHeight="1" x14ac:dyDescent="0.25">
      <c r="A10" s="757" t="s">
        <v>30</v>
      </c>
      <c r="B10" s="696">
        <v>0</v>
      </c>
      <c r="C10" s="82">
        <v>0</v>
      </c>
      <c r="D10" s="697">
        <v>0</v>
      </c>
      <c r="E10" s="697">
        <v>0</v>
      </c>
      <c r="F10" s="698">
        <v>78</v>
      </c>
      <c r="G10" s="82">
        <v>568</v>
      </c>
      <c r="H10" s="82"/>
      <c r="I10" s="698">
        <f>كاشي!B10+كاشي!D10+كاشي!F10+كاشي!H10+كاشي2!B10+كاشي2!D10+كاشي2!F10</f>
        <v>3197</v>
      </c>
      <c r="J10" s="698">
        <f>كاشي!C10+كاشي!E10+كاشي!G10+كاشي!I10+كاشي2!C10+كاشي2!E10+كاشي2!G10</f>
        <v>44128</v>
      </c>
      <c r="K10" s="10" t="s">
        <v>31</v>
      </c>
      <c r="N10" s="699"/>
    </row>
    <row r="11" spans="1:14" s="313" customFormat="1" ht="15" customHeight="1" x14ac:dyDescent="0.25">
      <c r="A11" s="486" t="s">
        <v>3</v>
      </c>
      <c r="B11" s="557">
        <v>0</v>
      </c>
      <c r="C11" s="480">
        <v>0</v>
      </c>
      <c r="D11" s="558">
        <v>0</v>
      </c>
      <c r="E11" s="558">
        <v>0</v>
      </c>
      <c r="F11" s="559">
        <v>159</v>
      </c>
      <c r="G11" s="480">
        <v>646</v>
      </c>
      <c r="H11" s="480"/>
      <c r="I11" s="559">
        <f>كاشي!B11+كاشي!D11+كاشي!F11+كاشي!H11+كاشي2!B11+كاشي2!D11+كاشي2!F11</f>
        <v>6152</v>
      </c>
      <c r="J11" s="559">
        <f>كاشي!C11+كاشي!E11+كاشي!G11+كاشي!I11+كاشي2!C11+كاشي2!E11+كاشي2!G11</f>
        <v>81501</v>
      </c>
      <c r="K11" s="487" t="s">
        <v>15</v>
      </c>
      <c r="N11" s="499"/>
    </row>
    <row r="12" spans="1:14" s="315" customFormat="1" ht="15" customHeight="1" x14ac:dyDescent="0.25">
      <c r="A12" s="757" t="s">
        <v>365</v>
      </c>
      <c r="B12" s="696">
        <v>0</v>
      </c>
      <c r="C12" s="82">
        <v>0</v>
      </c>
      <c r="D12" s="697">
        <v>0</v>
      </c>
      <c r="E12" s="697">
        <v>0</v>
      </c>
      <c r="F12" s="698">
        <v>70</v>
      </c>
      <c r="G12" s="82">
        <v>363</v>
      </c>
      <c r="H12" s="82"/>
      <c r="I12" s="698">
        <f>كاشي!B12+كاشي!D12+كاشي!F12+كاشي!H12+كاشي2!B12+كاشي2!D12+كاشي2!F12</f>
        <v>1684</v>
      </c>
      <c r="J12" s="698">
        <f>كاشي!C12+كاشي!E12+كاشي!G12+كاشي!I12+كاشي2!C12+كاشي2!E12+كاشي2!G12</f>
        <v>26421</v>
      </c>
      <c r="K12" s="10" t="s">
        <v>359</v>
      </c>
      <c r="N12" s="699"/>
    </row>
    <row r="13" spans="1:14" s="313" customFormat="1" ht="15" customHeight="1" x14ac:dyDescent="0.25">
      <c r="A13" s="486" t="s">
        <v>4</v>
      </c>
      <c r="B13" s="557">
        <v>226</v>
      </c>
      <c r="C13" s="480">
        <v>2109</v>
      </c>
      <c r="D13" s="558">
        <v>0</v>
      </c>
      <c r="E13" s="480">
        <v>0</v>
      </c>
      <c r="F13" s="559">
        <v>520</v>
      </c>
      <c r="G13" s="480">
        <v>3282</v>
      </c>
      <c r="H13" s="480"/>
      <c r="I13" s="559">
        <f>كاشي!B13+كاشي!D13+كاشي!F13+كاشي!H13+كاشي2!B13+كاشي2!D13+كاشي2!F13</f>
        <v>30381</v>
      </c>
      <c r="J13" s="559">
        <f>كاشي!C13+كاشي!E13+كاشي!G13+كاشي!I13+كاشي2!C13+كاشي2!E13+كاشي2!G13</f>
        <v>411376</v>
      </c>
      <c r="K13" s="487" t="s">
        <v>16</v>
      </c>
      <c r="N13" s="499"/>
    </row>
    <row r="14" spans="1:14" s="315" customFormat="1" ht="15" customHeight="1" x14ac:dyDescent="0.25">
      <c r="A14" s="695" t="s">
        <v>5</v>
      </c>
      <c r="B14" s="696">
        <v>2</v>
      </c>
      <c r="C14" s="82">
        <f>B14*8</f>
        <v>16</v>
      </c>
      <c r="D14" s="697">
        <v>0</v>
      </c>
      <c r="E14" s="82">
        <v>0</v>
      </c>
      <c r="F14" s="698">
        <v>118</v>
      </c>
      <c r="G14" s="82">
        <v>1438</v>
      </c>
      <c r="H14" s="82"/>
      <c r="I14" s="698">
        <f>كاشي!B14+كاشي!D14+كاشي!F14+كاشي!H14+كاشي2!B14+كاشي2!D14+كاشي2!F14</f>
        <v>5173</v>
      </c>
      <c r="J14" s="698">
        <f>كاشي!C14+كاشي!E14+كاشي!G14+كاشي!I14+كاشي2!C14+كاشي2!E14+كاشي2!G14</f>
        <v>78894</v>
      </c>
      <c r="K14" s="647" t="s">
        <v>23</v>
      </c>
      <c r="N14" s="699"/>
    </row>
    <row r="15" spans="1:14" s="313" customFormat="1" ht="15" customHeight="1" x14ac:dyDescent="0.25">
      <c r="A15" s="486" t="s">
        <v>6</v>
      </c>
      <c r="B15" s="557">
        <v>0</v>
      </c>
      <c r="C15" s="480">
        <v>0</v>
      </c>
      <c r="D15" s="558">
        <v>150</v>
      </c>
      <c r="E15" s="480">
        <f>D15*42</f>
        <v>6300</v>
      </c>
      <c r="F15" s="559">
        <v>44</v>
      </c>
      <c r="G15" s="480">
        <v>412</v>
      </c>
      <c r="H15" s="480"/>
      <c r="I15" s="559">
        <f>كاشي!B15+كاشي!D15+كاشي!F15+كاشي!H15+كاشي2!B15+كاشي2!D15+كاشي2!F15</f>
        <v>3635</v>
      </c>
      <c r="J15" s="559">
        <f>كاشي!C15+كاشي!E15+كاشي!G15+كاشي!I15+كاشي2!C15+كاشي2!E15+كاشي2!G15</f>
        <v>92346</v>
      </c>
      <c r="K15" s="487" t="s">
        <v>24</v>
      </c>
      <c r="N15" s="499"/>
    </row>
    <row r="16" spans="1:14" s="315" customFormat="1" ht="15" customHeight="1" x14ac:dyDescent="0.25">
      <c r="A16" s="695" t="s">
        <v>11</v>
      </c>
      <c r="B16" s="696">
        <v>4</v>
      </c>
      <c r="C16" s="82">
        <v>40</v>
      </c>
      <c r="D16" s="697">
        <v>0</v>
      </c>
      <c r="E16" s="82">
        <v>0</v>
      </c>
      <c r="F16" s="698">
        <v>67</v>
      </c>
      <c r="G16" s="82">
        <v>362</v>
      </c>
      <c r="H16" s="82"/>
      <c r="I16" s="698">
        <f>كاشي!B16+كاشي!D16+كاشي!F16+كاشي!H16+كاشي2!B16+كاشي2!D16+كاشي2!F16</f>
        <v>2500</v>
      </c>
      <c r="J16" s="698">
        <f>كاشي!C16+كاشي!E16+كاشي!G16+كاشي!I16+كاشي2!C16+كاشي2!E16+كاشي2!G16</f>
        <v>30794</v>
      </c>
      <c r="K16" s="647" t="s">
        <v>21</v>
      </c>
      <c r="N16" s="699"/>
    </row>
    <row r="17" spans="1:14" s="315" customFormat="1" ht="15" customHeight="1" x14ac:dyDescent="0.25">
      <c r="A17" s="772" t="s">
        <v>2</v>
      </c>
      <c r="B17" s="773">
        <v>1</v>
      </c>
      <c r="C17" s="163">
        <f>B17*8</f>
        <v>8</v>
      </c>
      <c r="D17" s="774">
        <v>0</v>
      </c>
      <c r="E17" s="163">
        <v>0</v>
      </c>
      <c r="F17" s="775">
        <v>51</v>
      </c>
      <c r="G17" s="163">
        <v>245</v>
      </c>
      <c r="H17" s="163"/>
      <c r="I17" s="775">
        <f>كاشي!B17+كاشي!D17+كاشي!F17+كاشي!H17+كاشي2!B17+كاشي2!D17+كاشي2!F17</f>
        <v>1547</v>
      </c>
      <c r="J17" s="775">
        <f>كاشي!C17+كاشي!E17+كاشي!G17+كاشي!I17+كاشي2!C17+كاشي2!E17+كاشي2!G17</f>
        <v>17508</v>
      </c>
      <c r="K17" s="776" t="s">
        <v>14</v>
      </c>
      <c r="N17" s="699"/>
    </row>
    <row r="18" spans="1:14" s="313" customFormat="1" ht="15" customHeight="1" x14ac:dyDescent="0.25">
      <c r="A18" s="486" t="s">
        <v>7</v>
      </c>
      <c r="B18" s="557">
        <v>3</v>
      </c>
      <c r="C18" s="480">
        <v>52</v>
      </c>
      <c r="D18" s="558">
        <v>0</v>
      </c>
      <c r="E18" s="480">
        <v>0</v>
      </c>
      <c r="F18" s="559">
        <v>192</v>
      </c>
      <c r="G18" s="480">
        <v>1798</v>
      </c>
      <c r="H18" s="480"/>
      <c r="I18" s="559">
        <f>كاشي!B18+كاشي!D18+كاشي!F18+كاشي!H18+كاشي2!B18+كاشي2!D18+كاشي2!F18</f>
        <v>6253</v>
      </c>
      <c r="J18" s="559">
        <f>كاشي!C18+كاشي!E18+كاشي!G18+كاشي!I18+كاشي2!C18+كاشي2!E18+كاشي2!G18</f>
        <v>82164</v>
      </c>
      <c r="K18" s="487" t="s">
        <v>17</v>
      </c>
      <c r="N18" s="499"/>
    </row>
    <row r="19" spans="1:14" s="315" customFormat="1" ht="15" customHeight="1" x14ac:dyDescent="0.25">
      <c r="A19" s="695" t="s">
        <v>8</v>
      </c>
      <c r="B19" s="696">
        <v>0</v>
      </c>
      <c r="C19" s="82">
        <v>0</v>
      </c>
      <c r="D19" s="697">
        <v>0</v>
      </c>
      <c r="E19" s="82">
        <v>0</v>
      </c>
      <c r="F19" s="698">
        <v>83</v>
      </c>
      <c r="G19" s="82">
        <v>403</v>
      </c>
      <c r="H19" s="82"/>
      <c r="I19" s="698">
        <f>كاشي!B19+كاشي!D19+كاشي!F19+كاشي!H19+كاشي2!B19+كاشي2!D19+كاشي2!F19</f>
        <v>2613</v>
      </c>
      <c r="J19" s="698">
        <f>كاشي!C19+كاشي!E19+كاشي!G19+كاشي!I19+كاشي2!C19+كاشي2!E19+كاشي2!G19</f>
        <v>28759</v>
      </c>
      <c r="K19" s="647" t="s">
        <v>18</v>
      </c>
      <c r="N19" s="699"/>
    </row>
    <row r="20" spans="1:14" s="313" customFormat="1" ht="15" customHeight="1" x14ac:dyDescent="0.25">
      <c r="A20" s="486" t="s">
        <v>9</v>
      </c>
      <c r="B20" s="557">
        <v>0</v>
      </c>
      <c r="C20" s="480">
        <v>0</v>
      </c>
      <c r="D20" s="558">
        <v>0</v>
      </c>
      <c r="E20" s="480">
        <v>0</v>
      </c>
      <c r="F20" s="559">
        <v>53</v>
      </c>
      <c r="G20" s="480">
        <v>210</v>
      </c>
      <c r="H20" s="480"/>
      <c r="I20" s="559">
        <f>كاشي!B20+كاشي!D20+كاشي!F20+كاشي!H20+كاشي2!B20+كاشي2!D20+كاشي2!F20</f>
        <v>2251</v>
      </c>
      <c r="J20" s="559">
        <f>كاشي!C20+كاشي!E20+كاشي!G20+كاشي!I20+كاشي2!C20+كاشي2!E20+كاشي2!G20</f>
        <v>25157</v>
      </c>
      <c r="K20" s="487" t="s">
        <v>19</v>
      </c>
      <c r="N20" s="499"/>
    </row>
    <row r="21" spans="1:14" s="315" customFormat="1" ht="15" customHeight="1" x14ac:dyDescent="0.25">
      <c r="A21" s="695" t="s">
        <v>10</v>
      </c>
      <c r="B21" s="696">
        <v>4</v>
      </c>
      <c r="C21" s="82">
        <f>B21*9</f>
        <v>36</v>
      </c>
      <c r="D21" s="697">
        <v>0</v>
      </c>
      <c r="E21" s="697">
        <v>0</v>
      </c>
      <c r="F21" s="698">
        <v>105</v>
      </c>
      <c r="G21" s="82">
        <v>662</v>
      </c>
      <c r="H21" s="82"/>
      <c r="I21" s="698">
        <f>كاشي!B21+كاشي!D21+كاشي!F21+كاشي!H21+كاشي2!B21+كاشي2!D21+كاشي2!F21</f>
        <v>5255</v>
      </c>
      <c r="J21" s="698">
        <f>كاشي!C21+كاشي!E21+كاشي!G21+كاشي!I21+كاشي2!C21+كاشي2!E21+كاشي2!G21</f>
        <v>68031</v>
      </c>
      <c r="K21" s="647" t="s">
        <v>20</v>
      </c>
      <c r="N21" s="699"/>
    </row>
    <row r="22" spans="1:14" s="313" customFormat="1" ht="15" customHeight="1" x14ac:dyDescent="0.25">
      <c r="A22" s="486" t="s">
        <v>12</v>
      </c>
      <c r="B22" s="557">
        <v>0</v>
      </c>
      <c r="C22" s="480">
        <v>0</v>
      </c>
      <c r="D22" s="558">
        <v>0</v>
      </c>
      <c r="E22" s="558">
        <v>0</v>
      </c>
      <c r="F22" s="559">
        <v>23</v>
      </c>
      <c r="G22" s="480">
        <v>136</v>
      </c>
      <c r="H22" s="480"/>
      <c r="I22" s="559">
        <f>كاشي!B22+كاشي!D22+كاشي!F22+كاشي!H22+كاشي2!B22+كاشي2!D22+كاشي2!F22</f>
        <v>642</v>
      </c>
      <c r="J22" s="559">
        <f>كاشي!C22+كاشي!E22+كاشي!G22+كاشي!I22+كاشي2!C22+كاشي2!E22+كاشي2!G22</f>
        <v>7977</v>
      </c>
      <c r="K22" s="487" t="s">
        <v>25</v>
      </c>
      <c r="N22" s="499"/>
    </row>
    <row r="23" spans="1:14" s="399" customFormat="1" ht="15" customHeight="1" thickBot="1" x14ac:dyDescent="0.3">
      <c r="A23" s="695" t="s">
        <v>13</v>
      </c>
      <c r="B23" s="696">
        <v>92</v>
      </c>
      <c r="C23" s="82">
        <v>1283</v>
      </c>
      <c r="D23" s="697">
        <v>0</v>
      </c>
      <c r="E23" s="697">
        <v>0</v>
      </c>
      <c r="F23" s="698">
        <v>117</v>
      </c>
      <c r="G23" s="82">
        <v>894</v>
      </c>
      <c r="H23" s="82"/>
      <c r="I23" s="698">
        <f>كاشي!B23+كاشي!D23+كاشي!F23+كاشي!H23+كاشي2!B23+كاشي2!D23+كاشي2!F23</f>
        <v>7152</v>
      </c>
      <c r="J23" s="698">
        <f>كاشي!C23+كاشي!E23+كاشي!G23+كاشي!I23+كاشي2!C23+كاشي2!E23+كاشي2!G23</f>
        <v>87476</v>
      </c>
      <c r="K23" s="700" t="s">
        <v>22</v>
      </c>
      <c r="N23" s="701"/>
    </row>
    <row r="24" spans="1:14" s="313" customFormat="1" ht="17.25" customHeight="1" thickBot="1" x14ac:dyDescent="0.25">
      <c r="A24" s="503" t="s">
        <v>0</v>
      </c>
      <c r="B24" s="534">
        <f>SUM(B9:B23)</f>
        <v>332</v>
      </c>
      <c r="C24" s="534">
        <f>SUM(C9:C23)</f>
        <v>3544</v>
      </c>
      <c r="D24" s="534">
        <f>SUM(D9:D23)</f>
        <v>150</v>
      </c>
      <c r="E24" s="534">
        <f>SUM(E9:E23)</f>
        <v>6300</v>
      </c>
      <c r="F24" s="534">
        <f t="shared" ref="F24:G24" si="0">SUM(F9:F23)</f>
        <v>1680</v>
      </c>
      <c r="G24" s="534">
        <f t="shared" si="0"/>
        <v>11419</v>
      </c>
      <c r="H24" s="534"/>
      <c r="I24" s="534">
        <f>SUM(I9:I23)</f>
        <v>79639</v>
      </c>
      <c r="J24" s="534">
        <f>SUM(J9:J23)</f>
        <v>1100725</v>
      </c>
      <c r="K24" s="561" t="s">
        <v>1</v>
      </c>
    </row>
    <row r="25" spans="1:14" ht="15" x14ac:dyDescent="0.2">
      <c r="A25" s="889" t="s">
        <v>429</v>
      </c>
      <c r="B25" s="889"/>
      <c r="C25" s="889"/>
      <c r="D25" s="889"/>
      <c r="E25" s="889"/>
      <c r="F25" s="889"/>
      <c r="G25" s="889"/>
      <c r="H25" s="672"/>
      <c r="I25" s="6"/>
    </row>
    <row r="26" spans="1:14" ht="15" customHeight="1" x14ac:dyDescent="0.2">
      <c r="C26" s="7"/>
      <c r="D26" s="7"/>
      <c r="E26" s="7"/>
      <c r="F26" s="7"/>
      <c r="G26" s="79"/>
      <c r="H26" s="79"/>
      <c r="J26" s="909"/>
      <c r="K26" s="909"/>
    </row>
    <row r="27" spans="1:14" ht="14.25" x14ac:dyDescent="0.2">
      <c r="E27" t="s">
        <v>369</v>
      </c>
      <c r="F27" t="s">
        <v>370</v>
      </c>
      <c r="K27" s="197"/>
    </row>
    <row r="30" spans="1:14" x14ac:dyDescent="0.2">
      <c r="F30" t="s">
        <v>371</v>
      </c>
    </row>
    <row r="31" spans="1:14" x14ac:dyDescent="0.2">
      <c r="E31" t="s">
        <v>368</v>
      </c>
    </row>
    <row r="32" spans="1:14" x14ac:dyDescent="0.2">
      <c r="F32" t="s">
        <v>370</v>
      </c>
    </row>
    <row r="34" spans="6:6" x14ac:dyDescent="0.2">
      <c r="F34" t="s">
        <v>372</v>
      </c>
    </row>
  </sheetData>
  <mergeCells count="7">
    <mergeCell ref="J3:K3"/>
    <mergeCell ref="J26:K26"/>
    <mergeCell ref="A4:B4"/>
    <mergeCell ref="A1:K1"/>
    <mergeCell ref="A2:K2"/>
    <mergeCell ref="C4:D4"/>
    <mergeCell ref="A25:G25"/>
  </mergeCells>
  <phoneticPr fontId="3" type="noConversion"/>
  <printOptions horizontalCentered="1" verticalCentered="1"/>
  <pageMargins left="1.07" right="0.98" top="0.78" bottom="0.98425196850393704" header="0.78740157480314998" footer="0.511811023622047"/>
  <pageSetup scale="97" orientation="landscape" verticalDpi="300" r:id="rId1"/>
  <headerFooter alignWithMargins="0">
    <oddFooter>&amp;C36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N35" sqref="N35"/>
    </sheetView>
  </sheetViews>
  <sheetFormatPr defaultRowHeight="12.75" x14ac:dyDescent="0.2"/>
  <cols>
    <col min="1" max="1" width="7.5703125" customWidth="1"/>
    <col min="3" max="3" width="7.5703125" customWidth="1"/>
  </cols>
  <sheetData/>
  <phoneticPr fontId="3" type="noConversion"/>
  <printOptions horizontalCentered="1" verticalCentered="1"/>
  <pageMargins left="0.91" right="0.97" top="1" bottom="1" header="0.5" footer="0.5"/>
  <pageSetup scale="95" orientation="landscape" horizontalDpi="4294967293" verticalDpi="1200" r:id="rId1"/>
  <headerFooter alignWithMargins="0">
    <oddFooter>&amp;C37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G38" sqref="G38"/>
    </sheetView>
  </sheetViews>
  <sheetFormatPr defaultRowHeight="12.75" x14ac:dyDescent="0.2"/>
  <sheetData/>
  <phoneticPr fontId="3" type="noConversion"/>
  <printOptions horizontalCentered="1" verticalCentered="1"/>
  <pageMargins left="0.74803149606299213" right="0.74803149606299213" top="0.98425196850393704" bottom="1.0900000000000001" header="0.51181102362204722" footer="0.51181102362204722"/>
  <pageSetup scale="95" orientation="landscape" horizontalDpi="4294967293" verticalDpi="1200" r:id="rId1"/>
  <headerFooter alignWithMargins="0">
    <oddFooter>&amp;C11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28"/>
  <sheetViews>
    <sheetView rightToLeft="1" zoomScaleSheetLayoutView="100" workbookViewId="0">
      <selection activeCell="L32" sqref="L32"/>
    </sheetView>
  </sheetViews>
  <sheetFormatPr defaultRowHeight="12.75" x14ac:dyDescent="0.2"/>
  <cols>
    <col min="1" max="1" width="11.85546875" customWidth="1"/>
    <col min="2" max="2" width="11.140625" customWidth="1"/>
    <col min="3" max="3" width="15" customWidth="1"/>
    <col min="4" max="4" width="12.85546875" customWidth="1"/>
    <col min="5" max="5" width="16.140625" customWidth="1"/>
    <col min="6" max="6" width="12.28515625" style="7" customWidth="1"/>
    <col min="7" max="7" width="18" customWidth="1"/>
    <col min="8" max="8" width="16.140625" customWidth="1"/>
  </cols>
  <sheetData>
    <row r="1" spans="1:8" ht="15" x14ac:dyDescent="0.2">
      <c r="A1" s="850" t="s">
        <v>480</v>
      </c>
      <c r="B1" s="850"/>
      <c r="C1" s="850"/>
      <c r="D1" s="850"/>
      <c r="E1" s="850"/>
      <c r="F1" s="850"/>
      <c r="G1" s="850"/>
      <c r="H1" s="850"/>
    </row>
    <row r="2" spans="1:8" ht="30.75" customHeight="1" x14ac:dyDescent="0.2">
      <c r="A2" s="858" t="s">
        <v>481</v>
      </c>
      <c r="B2" s="858"/>
      <c r="C2" s="858"/>
      <c r="D2" s="858"/>
      <c r="E2" s="858"/>
      <c r="F2" s="858"/>
      <c r="G2" s="858"/>
      <c r="H2" s="858"/>
    </row>
    <row r="3" spans="1:8" s="7" customFormat="1" ht="13.5" customHeight="1" x14ac:dyDescent="0.25">
      <c r="A3" s="220"/>
      <c r="B3" s="220"/>
      <c r="C3" s="220"/>
      <c r="D3" s="220"/>
      <c r="E3" s="220"/>
      <c r="F3" s="284"/>
      <c r="G3" s="873" t="s">
        <v>215</v>
      </c>
      <c r="H3" s="873"/>
    </row>
    <row r="4" spans="1:8" ht="32.25" customHeight="1" thickBot="1" x14ac:dyDescent="0.3">
      <c r="A4" s="859" t="s">
        <v>420</v>
      </c>
      <c r="B4" s="859"/>
      <c r="C4" s="859"/>
      <c r="D4" s="50"/>
      <c r="E4" s="25"/>
      <c r="F4" s="25"/>
      <c r="G4" s="174" t="s">
        <v>151</v>
      </c>
      <c r="H4" s="240" t="s">
        <v>339</v>
      </c>
    </row>
    <row r="5" spans="1:8" ht="15" customHeight="1" x14ac:dyDescent="0.25">
      <c r="A5" s="9"/>
      <c r="B5" s="37" t="s">
        <v>237</v>
      </c>
      <c r="C5" s="37"/>
      <c r="D5" s="122" t="s">
        <v>102</v>
      </c>
      <c r="E5" s="37"/>
      <c r="F5" s="851" t="s">
        <v>0</v>
      </c>
      <c r="G5" s="851"/>
      <c r="H5" s="9"/>
    </row>
    <row r="6" spans="1:8" s="161" customFormat="1" ht="15" customHeight="1" x14ac:dyDescent="0.25">
      <c r="A6" s="71"/>
      <c r="B6" s="166" t="s">
        <v>256</v>
      </c>
      <c r="C6" s="166"/>
      <c r="D6" s="348" t="s">
        <v>295</v>
      </c>
      <c r="E6" s="166"/>
      <c r="F6" s="166" t="s">
        <v>1</v>
      </c>
      <c r="G6" s="166"/>
      <c r="H6" s="71"/>
    </row>
    <row r="7" spans="1:8" s="363" customFormat="1" ht="16.5" customHeight="1" x14ac:dyDescent="0.2">
      <c r="A7" s="357"/>
      <c r="B7" s="347" t="s">
        <v>42</v>
      </c>
      <c r="C7" s="347" t="s">
        <v>239</v>
      </c>
      <c r="D7" s="347" t="s">
        <v>103</v>
      </c>
      <c r="E7" s="347" t="s">
        <v>238</v>
      </c>
      <c r="F7" s="166"/>
      <c r="G7" s="347" t="s">
        <v>238</v>
      </c>
      <c r="H7" s="357"/>
    </row>
    <row r="8" spans="1:8" s="367" customFormat="1" ht="12.75" customHeight="1" thickBot="1" x14ac:dyDescent="0.25">
      <c r="A8" s="366" t="s">
        <v>80</v>
      </c>
      <c r="B8" s="365" t="s">
        <v>43</v>
      </c>
      <c r="C8" s="365" t="s">
        <v>29</v>
      </c>
      <c r="D8" s="394" t="s">
        <v>157</v>
      </c>
      <c r="E8" s="365" t="s">
        <v>29</v>
      </c>
      <c r="F8" s="365"/>
      <c r="G8" s="365" t="s">
        <v>29</v>
      </c>
      <c r="H8" s="395" t="s">
        <v>26</v>
      </c>
    </row>
    <row r="9" spans="1:8" s="485" customFormat="1" ht="15.75" customHeight="1" x14ac:dyDescent="0.25">
      <c r="A9" s="478" t="s">
        <v>380</v>
      </c>
      <c r="B9" s="479">
        <v>569</v>
      </c>
      <c r="C9" s="480">
        <v>21634</v>
      </c>
      <c r="D9" s="479">
        <v>1363</v>
      </c>
      <c r="E9" s="480">
        <v>1138811</v>
      </c>
      <c r="F9" s="480">
        <f>B9+D9</f>
        <v>1932</v>
      </c>
      <c r="G9" s="480">
        <f>C9+E9</f>
        <v>1160445</v>
      </c>
      <c r="H9" s="562" t="s">
        <v>381</v>
      </c>
    </row>
    <row r="10" spans="1:8" s="313" customFormat="1" ht="15.75" customHeight="1" x14ac:dyDescent="0.25">
      <c r="A10" s="673" t="s">
        <v>30</v>
      </c>
      <c r="B10" s="85">
        <v>99</v>
      </c>
      <c r="C10" s="82">
        <v>3286</v>
      </c>
      <c r="D10" s="85">
        <v>3126</v>
      </c>
      <c r="E10" s="82">
        <v>2332109</v>
      </c>
      <c r="F10" s="82">
        <f t="shared" ref="F10:F23" si="0">B10+D10</f>
        <v>3225</v>
      </c>
      <c r="G10" s="82">
        <f t="shared" ref="G10:G23" si="1">C10+E10</f>
        <v>2335395</v>
      </c>
      <c r="H10" s="10" t="s">
        <v>31</v>
      </c>
    </row>
    <row r="11" spans="1:8" s="313" customFormat="1" ht="15" customHeight="1" x14ac:dyDescent="0.25">
      <c r="A11" s="486" t="s">
        <v>3</v>
      </c>
      <c r="B11" s="479">
        <v>29</v>
      </c>
      <c r="C11" s="480">
        <v>320</v>
      </c>
      <c r="D11" s="479">
        <v>4858</v>
      </c>
      <c r="E11" s="480">
        <v>3532274</v>
      </c>
      <c r="F11" s="480">
        <f t="shared" si="0"/>
        <v>4887</v>
      </c>
      <c r="G11" s="480">
        <f t="shared" si="1"/>
        <v>3532594</v>
      </c>
      <c r="H11" s="487" t="s">
        <v>15</v>
      </c>
    </row>
    <row r="12" spans="1:8" s="313" customFormat="1" ht="14.25" customHeight="1" x14ac:dyDescent="0.25">
      <c r="A12" s="673" t="s">
        <v>365</v>
      </c>
      <c r="B12" s="85">
        <v>11</v>
      </c>
      <c r="C12" s="82">
        <v>229</v>
      </c>
      <c r="D12" s="85">
        <v>2140</v>
      </c>
      <c r="E12" s="82">
        <v>1868516</v>
      </c>
      <c r="F12" s="82">
        <f t="shared" si="0"/>
        <v>2151</v>
      </c>
      <c r="G12" s="82">
        <f t="shared" si="1"/>
        <v>1868745</v>
      </c>
      <c r="H12" s="10" t="s">
        <v>359</v>
      </c>
    </row>
    <row r="13" spans="1:8" s="313" customFormat="1" ht="15" customHeight="1" x14ac:dyDescent="0.25">
      <c r="A13" s="486" t="s">
        <v>4</v>
      </c>
      <c r="B13" s="479">
        <v>929</v>
      </c>
      <c r="C13" s="480">
        <v>14861</v>
      </c>
      <c r="D13" s="479">
        <v>27863</v>
      </c>
      <c r="E13" s="480">
        <v>23071157</v>
      </c>
      <c r="F13" s="480">
        <f t="shared" si="0"/>
        <v>28792</v>
      </c>
      <c r="G13" s="480">
        <f t="shared" si="1"/>
        <v>23086018</v>
      </c>
      <c r="H13" s="487" t="s">
        <v>16</v>
      </c>
    </row>
    <row r="14" spans="1:8" s="313" customFormat="1" ht="12.95" customHeight="1" x14ac:dyDescent="0.25">
      <c r="A14" s="695" t="s">
        <v>5</v>
      </c>
      <c r="B14" s="85">
        <v>530</v>
      </c>
      <c r="C14" s="82">
        <v>6908</v>
      </c>
      <c r="D14" s="85">
        <v>4618</v>
      </c>
      <c r="E14" s="82">
        <v>3809950</v>
      </c>
      <c r="F14" s="82">
        <f t="shared" si="0"/>
        <v>5148</v>
      </c>
      <c r="G14" s="82">
        <f t="shared" si="1"/>
        <v>3816858</v>
      </c>
      <c r="H14" s="647" t="s">
        <v>23</v>
      </c>
    </row>
    <row r="15" spans="1:8" s="313" customFormat="1" ht="12.95" customHeight="1" x14ac:dyDescent="0.25">
      <c r="A15" s="486" t="s">
        <v>6</v>
      </c>
      <c r="B15" s="479">
        <v>837</v>
      </c>
      <c r="C15" s="480">
        <v>10076</v>
      </c>
      <c r="D15" s="479">
        <v>4062</v>
      </c>
      <c r="E15" s="480">
        <v>3112142</v>
      </c>
      <c r="F15" s="480">
        <f t="shared" si="0"/>
        <v>4899</v>
      </c>
      <c r="G15" s="480">
        <f t="shared" si="1"/>
        <v>3122218</v>
      </c>
      <c r="H15" s="487" t="s">
        <v>24</v>
      </c>
    </row>
    <row r="16" spans="1:8" s="313" customFormat="1" ht="12.95" customHeight="1" x14ac:dyDescent="0.25">
      <c r="A16" s="695" t="s">
        <v>11</v>
      </c>
      <c r="B16" s="85">
        <v>993</v>
      </c>
      <c r="C16" s="82">
        <v>13929</v>
      </c>
      <c r="D16" s="85">
        <v>2244</v>
      </c>
      <c r="E16" s="82">
        <v>1816082</v>
      </c>
      <c r="F16" s="82">
        <f t="shared" si="0"/>
        <v>3237</v>
      </c>
      <c r="G16" s="82">
        <f t="shared" si="1"/>
        <v>1830011</v>
      </c>
      <c r="H16" s="647" t="s">
        <v>21</v>
      </c>
    </row>
    <row r="17" spans="1:11" s="313" customFormat="1" ht="14.25" customHeight="1" x14ac:dyDescent="0.25">
      <c r="A17" s="486" t="s">
        <v>2</v>
      </c>
      <c r="B17" s="479">
        <v>94</v>
      </c>
      <c r="C17" s="480">
        <v>1312</v>
      </c>
      <c r="D17" s="479">
        <v>2197</v>
      </c>
      <c r="E17" s="480">
        <v>1742771</v>
      </c>
      <c r="F17" s="480">
        <f t="shared" si="0"/>
        <v>2291</v>
      </c>
      <c r="G17" s="480">
        <f t="shared" si="1"/>
        <v>1744083</v>
      </c>
      <c r="H17" s="487" t="s">
        <v>14</v>
      </c>
    </row>
    <row r="18" spans="1:11" s="313" customFormat="1" ht="15.75" customHeight="1" x14ac:dyDescent="0.25">
      <c r="A18" s="695" t="s">
        <v>7</v>
      </c>
      <c r="B18" s="85">
        <v>30</v>
      </c>
      <c r="C18" s="82">
        <v>303</v>
      </c>
      <c r="D18" s="85">
        <v>5643</v>
      </c>
      <c r="E18" s="82">
        <v>4520798</v>
      </c>
      <c r="F18" s="82">
        <f t="shared" si="0"/>
        <v>5673</v>
      </c>
      <c r="G18" s="82">
        <f t="shared" si="1"/>
        <v>4521101</v>
      </c>
      <c r="H18" s="647" t="s">
        <v>17</v>
      </c>
    </row>
    <row r="19" spans="1:11" s="313" customFormat="1" ht="12.95" customHeight="1" x14ac:dyDescent="0.25">
      <c r="A19" s="486" t="s">
        <v>8</v>
      </c>
      <c r="B19" s="479">
        <v>1854</v>
      </c>
      <c r="C19" s="480">
        <v>16661</v>
      </c>
      <c r="D19" s="479">
        <v>3578</v>
      </c>
      <c r="E19" s="480">
        <v>2966218</v>
      </c>
      <c r="F19" s="480">
        <f t="shared" si="0"/>
        <v>5432</v>
      </c>
      <c r="G19" s="480">
        <f t="shared" si="1"/>
        <v>2982879</v>
      </c>
      <c r="H19" s="487" t="s">
        <v>18</v>
      </c>
    </row>
    <row r="20" spans="1:11" s="313" customFormat="1" ht="15" customHeight="1" x14ac:dyDescent="0.25">
      <c r="A20" s="695" t="s">
        <v>9</v>
      </c>
      <c r="B20" s="85">
        <v>661</v>
      </c>
      <c r="C20" s="82">
        <v>5311</v>
      </c>
      <c r="D20" s="85">
        <v>2534</v>
      </c>
      <c r="E20" s="82">
        <v>1868172</v>
      </c>
      <c r="F20" s="82">
        <f t="shared" si="0"/>
        <v>3195</v>
      </c>
      <c r="G20" s="82">
        <f t="shared" si="1"/>
        <v>1873483</v>
      </c>
      <c r="H20" s="647" t="s">
        <v>19</v>
      </c>
    </row>
    <row r="21" spans="1:11" s="313" customFormat="1" ht="15.75" customHeight="1" x14ac:dyDescent="0.25">
      <c r="A21" s="695" t="s">
        <v>10</v>
      </c>
      <c r="B21" s="85">
        <v>834</v>
      </c>
      <c r="C21" s="82">
        <v>10017</v>
      </c>
      <c r="D21" s="85">
        <v>4956</v>
      </c>
      <c r="E21" s="82">
        <v>3514009</v>
      </c>
      <c r="F21" s="82">
        <f t="shared" si="0"/>
        <v>5790</v>
      </c>
      <c r="G21" s="82">
        <f t="shared" si="1"/>
        <v>3524026</v>
      </c>
      <c r="H21" s="647" t="s">
        <v>20</v>
      </c>
    </row>
    <row r="22" spans="1:11" s="313" customFormat="1" ht="15" customHeight="1" x14ac:dyDescent="0.25">
      <c r="A22" s="486" t="s">
        <v>12</v>
      </c>
      <c r="B22" s="479">
        <v>16</v>
      </c>
      <c r="C22" s="480">
        <v>192</v>
      </c>
      <c r="D22" s="479">
        <v>1023</v>
      </c>
      <c r="E22" s="480">
        <v>761376</v>
      </c>
      <c r="F22" s="480">
        <f t="shared" si="0"/>
        <v>1039</v>
      </c>
      <c r="G22" s="480">
        <f t="shared" si="1"/>
        <v>761568</v>
      </c>
      <c r="H22" s="487" t="s">
        <v>25</v>
      </c>
    </row>
    <row r="23" spans="1:11" s="313" customFormat="1" ht="18" customHeight="1" thickBot="1" x14ac:dyDescent="0.3">
      <c r="A23" s="695" t="s">
        <v>13</v>
      </c>
      <c r="B23" s="85">
        <v>20</v>
      </c>
      <c r="C23" s="82">
        <v>330</v>
      </c>
      <c r="D23" s="85">
        <v>8232</v>
      </c>
      <c r="E23" s="82">
        <v>6380165</v>
      </c>
      <c r="F23" s="82">
        <f t="shared" si="0"/>
        <v>8252</v>
      </c>
      <c r="G23" s="82">
        <f t="shared" si="1"/>
        <v>6380495</v>
      </c>
      <c r="H23" s="647" t="s">
        <v>22</v>
      </c>
    </row>
    <row r="24" spans="1:11" s="537" customFormat="1" ht="17.25" customHeight="1" thickBot="1" x14ac:dyDescent="0.25">
      <c r="A24" s="563" t="s">
        <v>0</v>
      </c>
      <c r="B24" s="534">
        <f t="shared" ref="B24:G24" si="2">SUM(B9:B23)</f>
        <v>7506</v>
      </c>
      <c r="C24" s="534">
        <f t="shared" si="2"/>
        <v>105369</v>
      </c>
      <c r="D24" s="534">
        <f t="shared" si="2"/>
        <v>78437</v>
      </c>
      <c r="E24" s="534">
        <f t="shared" si="2"/>
        <v>62434550</v>
      </c>
      <c r="F24" s="534">
        <f t="shared" si="2"/>
        <v>85943</v>
      </c>
      <c r="G24" s="534">
        <f t="shared" si="2"/>
        <v>62539919</v>
      </c>
      <c r="H24" s="564" t="s">
        <v>1</v>
      </c>
    </row>
    <row r="25" spans="1:11" s="7" customFormat="1" ht="17.25" customHeight="1" x14ac:dyDescent="0.2">
      <c r="A25" s="889"/>
      <c r="B25" s="889"/>
      <c r="C25" s="889"/>
      <c r="D25" s="889"/>
      <c r="E25" s="889"/>
      <c r="F25" s="889"/>
      <c r="G25" s="889"/>
      <c r="H25" s="889"/>
      <c r="I25" s="889"/>
    </row>
    <row r="26" spans="1:11" ht="14.25" x14ac:dyDescent="0.2">
      <c r="C26" s="7"/>
      <c r="D26" s="7"/>
      <c r="E26" s="7"/>
      <c r="G26" s="7"/>
      <c r="H26" s="197"/>
      <c r="I26" s="6"/>
      <c r="J26" s="6"/>
      <c r="K26" s="7"/>
    </row>
    <row r="27" spans="1:11" ht="15" x14ac:dyDescent="0.25">
      <c r="A27" s="908"/>
      <c r="B27" s="908"/>
      <c r="C27" s="7"/>
      <c r="D27" s="7"/>
      <c r="E27" s="7"/>
      <c r="G27" s="909"/>
      <c r="H27" s="909"/>
      <c r="I27" s="6"/>
      <c r="J27" s="7"/>
    </row>
    <row r="28" spans="1:11" x14ac:dyDescent="0.2">
      <c r="G28" t="s">
        <v>504</v>
      </c>
    </row>
  </sheetData>
  <mergeCells count="8">
    <mergeCell ref="G3:H3"/>
    <mergeCell ref="A27:B27"/>
    <mergeCell ref="G27:H27"/>
    <mergeCell ref="A1:H1"/>
    <mergeCell ref="A2:H2"/>
    <mergeCell ref="A4:C4"/>
    <mergeCell ref="A25:I25"/>
    <mergeCell ref="F5:G5"/>
  </mergeCells>
  <phoneticPr fontId="3" type="noConversion"/>
  <printOptions horizontalCentered="1" verticalCentered="1"/>
  <pageMargins left="0.74" right="1.1399999999999999" top="6.25E-2" bottom="0.98425196850393704" header="0.78740157480314998" footer="0.511811023622047"/>
  <pageSetup orientation="landscape" verticalDpi="300" r:id="rId1"/>
  <headerFooter alignWithMargins="0">
    <oddFooter>&amp;C38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8"/>
  <sheetViews>
    <sheetView rightToLeft="1" zoomScaleSheetLayoutView="87" workbookViewId="0">
      <selection activeCell="N18" sqref="N18"/>
    </sheetView>
  </sheetViews>
  <sheetFormatPr defaultRowHeight="12.75" x14ac:dyDescent="0.2"/>
  <cols>
    <col min="1" max="1" width="9.140625" customWidth="1"/>
    <col min="2" max="2" width="9.7109375" customWidth="1"/>
    <col min="3" max="3" width="14.42578125" customWidth="1"/>
    <col min="4" max="4" width="9.28515625" customWidth="1"/>
    <col min="5" max="5" width="11.5703125" customWidth="1"/>
    <col min="6" max="6" width="10" customWidth="1"/>
    <col min="7" max="7" width="11.85546875" customWidth="1"/>
    <col min="8" max="8" width="8.85546875" customWidth="1"/>
    <col min="9" max="9" width="11.5703125" customWidth="1"/>
    <col min="10" max="10" width="8.7109375" style="7" customWidth="1"/>
    <col min="11" max="11" width="11.7109375" customWidth="1"/>
    <col min="12" max="12" width="14.42578125" customWidth="1"/>
  </cols>
  <sheetData>
    <row r="1" spans="1:13" ht="15" x14ac:dyDescent="0.2">
      <c r="A1" s="910" t="s">
        <v>482</v>
      </c>
      <c r="B1" s="910"/>
      <c r="C1" s="910"/>
      <c r="D1" s="910"/>
      <c r="E1" s="910"/>
      <c r="F1" s="910"/>
      <c r="G1" s="910"/>
      <c r="H1" s="910"/>
      <c r="I1" s="910"/>
      <c r="J1" s="910"/>
      <c r="K1" s="910"/>
      <c r="L1" s="910"/>
    </row>
    <row r="2" spans="1:13" ht="15.75" customHeight="1" x14ac:dyDescent="0.2">
      <c r="A2" s="913" t="s">
        <v>473</v>
      </c>
      <c r="B2" s="913"/>
      <c r="C2" s="913"/>
      <c r="D2" s="913"/>
      <c r="E2" s="913"/>
      <c r="F2" s="913"/>
      <c r="G2" s="913"/>
      <c r="H2" s="913"/>
      <c r="I2" s="913"/>
      <c r="J2" s="913"/>
      <c r="K2" s="913"/>
      <c r="L2" s="913"/>
    </row>
    <row r="3" spans="1:13" s="7" customFormat="1" ht="15.75" customHeight="1" x14ac:dyDescent="0.25">
      <c r="A3" s="225"/>
      <c r="B3" s="225"/>
      <c r="C3" s="225"/>
      <c r="D3" s="225"/>
      <c r="E3" s="225"/>
      <c r="F3" s="225"/>
      <c r="G3" s="225"/>
      <c r="H3" s="225"/>
      <c r="I3" s="225"/>
      <c r="J3" s="285"/>
      <c r="K3" s="873" t="s">
        <v>215</v>
      </c>
      <c r="L3" s="873"/>
    </row>
    <row r="4" spans="1:13" ht="15.75" customHeight="1" thickBot="1" x14ac:dyDescent="0.3">
      <c r="A4" s="912" t="s">
        <v>421</v>
      </c>
      <c r="B4" s="912"/>
      <c r="C4" s="124" t="s">
        <v>182</v>
      </c>
      <c r="D4" s="125"/>
      <c r="E4" s="19"/>
      <c r="F4" s="126"/>
      <c r="G4" s="126"/>
      <c r="H4" s="125"/>
      <c r="I4" s="124"/>
      <c r="J4" s="124"/>
      <c r="K4" s="911" t="s">
        <v>340</v>
      </c>
      <c r="L4" s="911" t="s">
        <v>53</v>
      </c>
      <c r="M4" s="3"/>
    </row>
    <row r="5" spans="1:13" ht="19.5" customHeight="1" x14ac:dyDescent="0.25">
      <c r="A5" s="9"/>
      <c r="B5" s="915" t="s">
        <v>156</v>
      </c>
      <c r="C5" s="915"/>
      <c r="D5" s="915" t="s">
        <v>155</v>
      </c>
      <c r="E5" s="915"/>
      <c r="F5" s="915" t="s">
        <v>39</v>
      </c>
      <c r="G5" s="915"/>
      <c r="H5" s="915" t="s">
        <v>40</v>
      </c>
      <c r="I5" s="915"/>
      <c r="J5" s="286"/>
      <c r="K5" s="128" t="s">
        <v>0</v>
      </c>
      <c r="L5" s="128"/>
    </row>
    <row r="6" spans="1:13" ht="15" customHeight="1" x14ac:dyDescent="0.25">
      <c r="A6" s="19"/>
      <c r="B6" s="853" t="s">
        <v>166</v>
      </c>
      <c r="C6" s="853"/>
      <c r="D6" s="914" t="s">
        <v>311</v>
      </c>
      <c r="E6" s="914"/>
      <c r="F6" s="914" t="s">
        <v>167</v>
      </c>
      <c r="G6" s="914"/>
      <c r="H6" s="853" t="s">
        <v>164</v>
      </c>
      <c r="I6" s="853"/>
      <c r="J6" s="283"/>
      <c r="K6" s="242" t="s">
        <v>1</v>
      </c>
      <c r="L6" s="127"/>
    </row>
    <row r="7" spans="1:13" s="161" customFormat="1" ht="26.25" customHeight="1" x14ac:dyDescent="0.2">
      <c r="A7" s="402"/>
      <c r="B7" s="401" t="s">
        <v>235</v>
      </c>
      <c r="C7" s="401" t="s">
        <v>238</v>
      </c>
      <c r="D7" s="401" t="s">
        <v>235</v>
      </c>
      <c r="E7" s="401" t="s">
        <v>238</v>
      </c>
      <c r="F7" s="401" t="s">
        <v>235</v>
      </c>
      <c r="G7" s="401" t="s">
        <v>238</v>
      </c>
      <c r="H7" s="401" t="s">
        <v>235</v>
      </c>
      <c r="I7" s="401" t="s">
        <v>238</v>
      </c>
      <c r="J7" s="401" t="s">
        <v>366</v>
      </c>
      <c r="K7" s="401" t="s">
        <v>238</v>
      </c>
      <c r="L7" s="402"/>
    </row>
    <row r="8" spans="1:13" s="367" customFormat="1" ht="15" customHeight="1" thickBot="1" x14ac:dyDescent="0.25">
      <c r="A8" s="403" t="s">
        <v>54</v>
      </c>
      <c r="B8" s="404" t="s">
        <v>132</v>
      </c>
      <c r="C8" s="403" t="s">
        <v>29</v>
      </c>
      <c r="D8" s="404" t="s">
        <v>132</v>
      </c>
      <c r="E8" s="405" t="s">
        <v>29</v>
      </c>
      <c r="F8" s="404" t="s">
        <v>132</v>
      </c>
      <c r="G8" s="403" t="s">
        <v>29</v>
      </c>
      <c r="H8" s="404" t="s">
        <v>132</v>
      </c>
      <c r="I8" s="403" t="s">
        <v>29</v>
      </c>
      <c r="J8" s="403"/>
      <c r="K8" s="403" t="s">
        <v>29</v>
      </c>
      <c r="L8" s="403" t="s">
        <v>26</v>
      </c>
    </row>
    <row r="9" spans="1:13" s="313" customFormat="1" ht="15" customHeight="1" x14ac:dyDescent="0.25">
      <c r="A9" s="565" t="s">
        <v>380</v>
      </c>
      <c r="B9" s="566">
        <v>2755</v>
      </c>
      <c r="C9" s="566">
        <v>323757</v>
      </c>
      <c r="D9" s="566">
        <v>1884</v>
      </c>
      <c r="E9" s="566">
        <v>179144</v>
      </c>
      <c r="F9" s="566">
        <v>2664</v>
      </c>
      <c r="G9" s="566">
        <v>278954</v>
      </c>
      <c r="H9" s="566">
        <v>204</v>
      </c>
      <c r="I9" s="480">
        <v>25993</v>
      </c>
      <c r="J9" s="480">
        <f>B9+D9+F9+H9</f>
        <v>7507</v>
      </c>
      <c r="K9" s="480">
        <f>C9+E9+G9+I9</f>
        <v>807848</v>
      </c>
      <c r="L9" s="567" t="s">
        <v>381</v>
      </c>
    </row>
    <row r="10" spans="1:13" s="313" customFormat="1" ht="15" customHeight="1" x14ac:dyDescent="0.25">
      <c r="A10" s="702" t="s">
        <v>30</v>
      </c>
      <c r="B10" s="703">
        <v>6893</v>
      </c>
      <c r="C10" s="703">
        <v>518894</v>
      </c>
      <c r="D10" s="703">
        <v>5807</v>
      </c>
      <c r="E10" s="703">
        <v>505218</v>
      </c>
      <c r="F10" s="703">
        <v>6353</v>
      </c>
      <c r="G10" s="703">
        <v>427638</v>
      </c>
      <c r="H10" s="703">
        <v>2320</v>
      </c>
      <c r="I10" s="82">
        <v>181187</v>
      </c>
      <c r="J10" s="82">
        <f t="shared" ref="J10:J23" si="0">B10+D10+F10+H10</f>
        <v>21373</v>
      </c>
      <c r="K10" s="82">
        <f t="shared" ref="K10:K23" si="1">C10+E10+G10+I10</f>
        <v>1632937</v>
      </c>
      <c r="L10" s="704" t="s">
        <v>31</v>
      </c>
    </row>
    <row r="11" spans="1:13" s="313" customFormat="1" ht="15" customHeight="1" x14ac:dyDescent="0.25">
      <c r="A11" s="568" t="s">
        <v>3</v>
      </c>
      <c r="B11" s="566">
        <v>10652</v>
      </c>
      <c r="C11" s="566">
        <v>758342</v>
      </c>
      <c r="D11" s="566">
        <v>10463</v>
      </c>
      <c r="E11" s="566">
        <v>881979</v>
      </c>
      <c r="F11" s="566">
        <v>11968</v>
      </c>
      <c r="G11" s="566">
        <v>747538</v>
      </c>
      <c r="H11" s="566">
        <v>5</v>
      </c>
      <c r="I11" s="566">
        <v>432</v>
      </c>
      <c r="J11" s="480">
        <f t="shared" si="0"/>
        <v>33088</v>
      </c>
      <c r="K11" s="480">
        <f t="shared" si="1"/>
        <v>2388291</v>
      </c>
      <c r="L11" s="569" t="s">
        <v>15</v>
      </c>
    </row>
    <row r="12" spans="1:13" s="313" customFormat="1" ht="15" customHeight="1" x14ac:dyDescent="0.25">
      <c r="A12" s="702" t="s">
        <v>365</v>
      </c>
      <c r="B12" s="703">
        <v>3353</v>
      </c>
      <c r="C12" s="703">
        <v>276405</v>
      </c>
      <c r="D12" s="82">
        <v>4020</v>
      </c>
      <c r="E12" s="703">
        <v>384748</v>
      </c>
      <c r="F12" s="703">
        <v>3246</v>
      </c>
      <c r="G12" s="703">
        <v>283347</v>
      </c>
      <c r="H12" s="703">
        <v>702</v>
      </c>
      <c r="I12" s="703">
        <v>51943</v>
      </c>
      <c r="J12" s="82">
        <f t="shared" si="0"/>
        <v>11321</v>
      </c>
      <c r="K12" s="82">
        <f t="shared" si="1"/>
        <v>996443</v>
      </c>
      <c r="L12" s="704" t="s">
        <v>359</v>
      </c>
    </row>
    <row r="13" spans="1:13" s="313" customFormat="1" ht="15" customHeight="1" x14ac:dyDescent="0.25">
      <c r="A13" s="568" t="s">
        <v>4</v>
      </c>
      <c r="B13" s="566">
        <v>52315</v>
      </c>
      <c r="C13" s="566">
        <v>3617024</v>
      </c>
      <c r="D13" s="566">
        <v>59775</v>
      </c>
      <c r="E13" s="566">
        <v>4439199</v>
      </c>
      <c r="F13" s="566">
        <v>48640</v>
      </c>
      <c r="G13" s="566">
        <v>3368341</v>
      </c>
      <c r="H13" s="566">
        <v>35332</v>
      </c>
      <c r="I13" s="566">
        <v>3191058</v>
      </c>
      <c r="J13" s="480">
        <f t="shared" si="0"/>
        <v>196062</v>
      </c>
      <c r="K13" s="480">
        <f t="shared" si="1"/>
        <v>14615622</v>
      </c>
      <c r="L13" s="569" t="s">
        <v>16</v>
      </c>
    </row>
    <row r="14" spans="1:13" s="313" customFormat="1" ht="15" customHeight="1" x14ac:dyDescent="0.25">
      <c r="A14" s="705" t="s">
        <v>5</v>
      </c>
      <c r="B14" s="703">
        <v>8947</v>
      </c>
      <c r="C14" s="703">
        <v>593744</v>
      </c>
      <c r="D14" s="703">
        <v>7231</v>
      </c>
      <c r="E14" s="703">
        <v>703196</v>
      </c>
      <c r="F14" s="703">
        <v>5696</v>
      </c>
      <c r="G14" s="703">
        <v>477979</v>
      </c>
      <c r="H14" s="703">
        <v>3748</v>
      </c>
      <c r="I14" s="703">
        <v>326677</v>
      </c>
      <c r="J14" s="82">
        <f t="shared" si="0"/>
        <v>25622</v>
      </c>
      <c r="K14" s="82">
        <f t="shared" si="1"/>
        <v>2101596</v>
      </c>
      <c r="L14" s="706" t="s">
        <v>23</v>
      </c>
    </row>
    <row r="15" spans="1:13" s="313" customFormat="1" ht="15" customHeight="1" x14ac:dyDescent="0.25">
      <c r="A15" s="568" t="s">
        <v>6</v>
      </c>
      <c r="B15" s="566">
        <v>9207</v>
      </c>
      <c r="C15" s="566">
        <v>722922</v>
      </c>
      <c r="D15" s="566">
        <v>14537</v>
      </c>
      <c r="E15" s="566">
        <v>1443319</v>
      </c>
      <c r="F15" s="566">
        <v>4797</v>
      </c>
      <c r="G15" s="566">
        <v>360762</v>
      </c>
      <c r="H15" s="566">
        <v>353</v>
      </c>
      <c r="I15" s="566">
        <v>31364</v>
      </c>
      <c r="J15" s="480">
        <f t="shared" si="0"/>
        <v>28894</v>
      </c>
      <c r="K15" s="480">
        <f t="shared" si="1"/>
        <v>2558367</v>
      </c>
      <c r="L15" s="569" t="s">
        <v>24</v>
      </c>
    </row>
    <row r="16" spans="1:13" s="313" customFormat="1" ht="15" customHeight="1" x14ac:dyDescent="0.25">
      <c r="A16" s="705" t="s">
        <v>11</v>
      </c>
      <c r="B16" s="703">
        <v>5192</v>
      </c>
      <c r="C16" s="703">
        <v>525139</v>
      </c>
      <c r="D16" s="703">
        <v>3003</v>
      </c>
      <c r="E16" s="703">
        <v>352666</v>
      </c>
      <c r="F16" s="703">
        <v>3886</v>
      </c>
      <c r="G16" s="703">
        <v>251841</v>
      </c>
      <c r="H16" s="703">
        <v>0</v>
      </c>
      <c r="I16" s="703">
        <v>0</v>
      </c>
      <c r="J16" s="82">
        <f t="shared" si="0"/>
        <v>12081</v>
      </c>
      <c r="K16" s="82">
        <f t="shared" si="1"/>
        <v>1129646</v>
      </c>
      <c r="L16" s="706" t="s">
        <v>21</v>
      </c>
    </row>
    <row r="17" spans="1:13" s="313" customFormat="1" ht="16.5" customHeight="1" x14ac:dyDescent="0.25">
      <c r="A17" s="568" t="s">
        <v>2</v>
      </c>
      <c r="B17" s="566">
        <v>3995</v>
      </c>
      <c r="C17" s="566">
        <f>B17*81</f>
        <v>323595</v>
      </c>
      <c r="D17" s="566">
        <v>3526</v>
      </c>
      <c r="E17" s="566">
        <v>215045</v>
      </c>
      <c r="F17" s="566">
        <v>6170</v>
      </c>
      <c r="G17" s="566">
        <v>378613</v>
      </c>
      <c r="H17" s="566">
        <v>22</v>
      </c>
      <c r="I17" s="566">
        <v>2024</v>
      </c>
      <c r="J17" s="480">
        <f t="shared" si="0"/>
        <v>13713</v>
      </c>
      <c r="K17" s="480">
        <f t="shared" si="1"/>
        <v>919277</v>
      </c>
      <c r="L17" s="570" t="s">
        <v>14</v>
      </c>
    </row>
    <row r="18" spans="1:13" s="313" customFormat="1" ht="15" customHeight="1" x14ac:dyDescent="0.25">
      <c r="A18" s="705" t="s">
        <v>7</v>
      </c>
      <c r="B18" s="703">
        <v>15678</v>
      </c>
      <c r="C18" s="703">
        <v>1572066</v>
      </c>
      <c r="D18" s="703">
        <v>19674</v>
      </c>
      <c r="E18" s="703">
        <v>2438769</v>
      </c>
      <c r="F18" s="703">
        <v>11683</v>
      </c>
      <c r="G18" s="703">
        <v>794518</v>
      </c>
      <c r="H18" s="703">
        <v>0</v>
      </c>
      <c r="I18" s="703">
        <v>0</v>
      </c>
      <c r="J18" s="82">
        <f t="shared" si="0"/>
        <v>47035</v>
      </c>
      <c r="K18" s="82">
        <f t="shared" si="1"/>
        <v>4805353</v>
      </c>
      <c r="L18" s="706" t="s">
        <v>17</v>
      </c>
    </row>
    <row r="19" spans="1:13" s="313" customFormat="1" ht="15" customHeight="1" x14ac:dyDescent="0.25">
      <c r="A19" s="568" t="s">
        <v>8</v>
      </c>
      <c r="B19" s="566">
        <v>5577</v>
      </c>
      <c r="C19" s="566">
        <v>413134</v>
      </c>
      <c r="D19" s="566">
        <v>6283</v>
      </c>
      <c r="E19" s="566">
        <v>478794</v>
      </c>
      <c r="F19" s="566">
        <v>4614</v>
      </c>
      <c r="G19" s="566">
        <v>303604</v>
      </c>
      <c r="H19" s="566">
        <v>0</v>
      </c>
      <c r="I19" s="566">
        <v>0</v>
      </c>
      <c r="J19" s="480">
        <f t="shared" si="0"/>
        <v>16474</v>
      </c>
      <c r="K19" s="480">
        <f t="shared" si="1"/>
        <v>1195532</v>
      </c>
      <c r="L19" s="569" t="s">
        <v>18</v>
      </c>
    </row>
    <row r="20" spans="1:13" s="313" customFormat="1" ht="15" customHeight="1" x14ac:dyDescent="0.25">
      <c r="A20" s="705" t="s">
        <v>9</v>
      </c>
      <c r="B20" s="703">
        <v>5162</v>
      </c>
      <c r="C20" s="703">
        <v>378377</v>
      </c>
      <c r="D20" s="703">
        <v>3294</v>
      </c>
      <c r="E20" s="703">
        <v>280198</v>
      </c>
      <c r="F20" s="703">
        <v>4035</v>
      </c>
      <c r="G20" s="703">
        <v>276492</v>
      </c>
      <c r="H20" s="703">
        <v>0</v>
      </c>
      <c r="I20" s="703">
        <v>0</v>
      </c>
      <c r="J20" s="82">
        <f t="shared" si="0"/>
        <v>12491</v>
      </c>
      <c r="K20" s="82">
        <f t="shared" si="1"/>
        <v>935067</v>
      </c>
      <c r="L20" s="706" t="s">
        <v>19</v>
      </c>
    </row>
    <row r="21" spans="1:13" s="313" customFormat="1" ht="15" customHeight="1" x14ac:dyDescent="0.25">
      <c r="A21" s="568" t="s">
        <v>10</v>
      </c>
      <c r="B21" s="566">
        <v>10314</v>
      </c>
      <c r="C21" s="566">
        <v>682249</v>
      </c>
      <c r="D21" s="566">
        <v>4279</v>
      </c>
      <c r="E21" s="566">
        <v>334366</v>
      </c>
      <c r="F21" s="566">
        <v>4268</v>
      </c>
      <c r="G21" s="566">
        <v>356700</v>
      </c>
      <c r="H21" s="566">
        <v>475</v>
      </c>
      <c r="I21" s="566">
        <v>54546</v>
      </c>
      <c r="J21" s="480">
        <f t="shared" si="0"/>
        <v>19336</v>
      </c>
      <c r="K21" s="480">
        <f t="shared" si="1"/>
        <v>1427861</v>
      </c>
      <c r="L21" s="569" t="s">
        <v>20</v>
      </c>
      <c r="M21" s="501"/>
    </row>
    <row r="22" spans="1:13" s="313" customFormat="1" ht="15" customHeight="1" x14ac:dyDescent="0.25">
      <c r="A22" s="705" t="s">
        <v>12</v>
      </c>
      <c r="B22" s="703">
        <v>1662</v>
      </c>
      <c r="C22" s="703">
        <v>97652</v>
      </c>
      <c r="D22" s="703">
        <v>2298</v>
      </c>
      <c r="E22" s="703">
        <v>184538</v>
      </c>
      <c r="F22" s="703">
        <v>2081</v>
      </c>
      <c r="G22" s="703">
        <v>115252</v>
      </c>
      <c r="H22" s="703">
        <v>142</v>
      </c>
      <c r="I22" s="703">
        <v>12170</v>
      </c>
      <c r="J22" s="82">
        <f t="shared" si="0"/>
        <v>6183</v>
      </c>
      <c r="K22" s="82">
        <f t="shared" si="1"/>
        <v>409612</v>
      </c>
      <c r="L22" s="706" t="s">
        <v>25</v>
      </c>
      <c r="M22" s="501"/>
    </row>
    <row r="23" spans="1:13" s="313" customFormat="1" ht="15" customHeight="1" thickBot="1" x14ac:dyDescent="0.3">
      <c r="A23" s="568" t="s">
        <v>13</v>
      </c>
      <c r="B23" s="566">
        <v>13767</v>
      </c>
      <c r="C23" s="566">
        <v>1452645</v>
      </c>
      <c r="D23" s="566">
        <v>6108</v>
      </c>
      <c r="E23" s="566">
        <v>554259</v>
      </c>
      <c r="F23" s="566">
        <v>6164</v>
      </c>
      <c r="G23" s="566">
        <v>500010</v>
      </c>
      <c r="H23" s="566">
        <v>1082</v>
      </c>
      <c r="I23" s="566">
        <v>75807</v>
      </c>
      <c r="J23" s="480">
        <f t="shared" si="0"/>
        <v>27121</v>
      </c>
      <c r="K23" s="480">
        <f t="shared" si="1"/>
        <v>2582721</v>
      </c>
      <c r="L23" s="569" t="s">
        <v>22</v>
      </c>
      <c r="M23" s="501"/>
    </row>
    <row r="24" spans="1:13" s="537" customFormat="1" ht="24" customHeight="1" thickBot="1" x14ac:dyDescent="0.25">
      <c r="A24" s="571" t="s">
        <v>0</v>
      </c>
      <c r="B24" s="572">
        <f t="shared" ref="B24:K24" si="2">SUM(B9:B23)</f>
        <v>155469</v>
      </c>
      <c r="C24" s="572">
        <f t="shared" si="2"/>
        <v>12255945</v>
      </c>
      <c r="D24" s="572">
        <f t="shared" si="2"/>
        <v>152182</v>
      </c>
      <c r="E24" s="572">
        <f t="shared" si="2"/>
        <v>13375438</v>
      </c>
      <c r="F24" s="572">
        <f t="shared" si="2"/>
        <v>126265</v>
      </c>
      <c r="G24" s="572">
        <f t="shared" si="2"/>
        <v>8921589</v>
      </c>
      <c r="H24" s="572">
        <f t="shared" si="2"/>
        <v>44385</v>
      </c>
      <c r="I24" s="572">
        <f t="shared" si="2"/>
        <v>3953201</v>
      </c>
      <c r="J24" s="572">
        <f t="shared" si="2"/>
        <v>478301</v>
      </c>
      <c r="K24" s="572">
        <f t="shared" si="2"/>
        <v>38506173</v>
      </c>
      <c r="L24" s="573" t="s">
        <v>1</v>
      </c>
    </row>
    <row r="25" spans="1:13" s="7" customFormat="1" ht="17.25" customHeight="1" x14ac:dyDescent="0.2">
      <c r="A25" s="889"/>
      <c r="B25" s="889"/>
      <c r="C25" s="889"/>
      <c r="D25" s="889"/>
      <c r="E25" s="889"/>
      <c r="F25" s="889"/>
      <c r="G25" s="889"/>
      <c r="H25" s="889"/>
      <c r="I25" s="205"/>
      <c r="J25" s="205"/>
      <c r="K25" s="205"/>
      <c r="L25" s="206"/>
    </row>
    <row r="26" spans="1:13" ht="14.25" x14ac:dyDescent="0.2">
      <c r="C26" s="7"/>
      <c r="D26" s="7"/>
      <c r="E26" s="7"/>
      <c r="F26" s="7"/>
      <c r="H26" s="1"/>
      <c r="I26" s="1"/>
      <c r="J26" s="1"/>
      <c r="K26" s="1"/>
      <c r="L26" s="197"/>
    </row>
    <row r="27" spans="1:13" ht="15" x14ac:dyDescent="0.25">
      <c r="A27" s="908"/>
      <c r="B27" s="908"/>
      <c r="C27" s="7"/>
      <c r="D27" s="7"/>
      <c r="E27" s="7"/>
      <c r="H27" s="1"/>
      <c r="I27" s="1"/>
      <c r="J27" s="1"/>
      <c r="K27" s="909"/>
      <c r="L27" s="909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mergeCells count="16">
    <mergeCell ref="K3:L3"/>
    <mergeCell ref="A27:B27"/>
    <mergeCell ref="K27:L27"/>
    <mergeCell ref="A1:L1"/>
    <mergeCell ref="K4:L4"/>
    <mergeCell ref="A4:B4"/>
    <mergeCell ref="A2:L2"/>
    <mergeCell ref="B6:C6"/>
    <mergeCell ref="F6:G6"/>
    <mergeCell ref="H6:I6"/>
    <mergeCell ref="H5:I5"/>
    <mergeCell ref="B5:C5"/>
    <mergeCell ref="D5:E5"/>
    <mergeCell ref="F5:G5"/>
    <mergeCell ref="D6:E6"/>
    <mergeCell ref="A25:H25"/>
  </mergeCells>
  <phoneticPr fontId="3" type="noConversion"/>
  <printOptions horizontalCentered="1" verticalCentered="1"/>
  <pageMargins left="0.2" right="0.57999999999999996" top="0.97" bottom="1.5354330708661399" header="0.97" footer="0.90551181102362199"/>
  <pageSetup scale="98" orientation="landscape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4"/>
  <sheetViews>
    <sheetView rightToLeft="1" zoomScaleSheetLayoutView="96" workbookViewId="0">
      <selection activeCell="I26" sqref="I26"/>
    </sheetView>
  </sheetViews>
  <sheetFormatPr defaultRowHeight="12.75" x14ac:dyDescent="0.2"/>
  <cols>
    <col min="1" max="1" width="9.7109375" customWidth="1"/>
    <col min="2" max="2" width="13" customWidth="1"/>
    <col min="3" max="3" width="10.28515625" customWidth="1"/>
    <col min="4" max="4" width="11.140625" customWidth="1"/>
    <col min="5" max="5" width="14.140625" customWidth="1"/>
    <col min="6" max="6" width="12.42578125" customWidth="1"/>
    <col min="7" max="7" width="14.140625" customWidth="1"/>
    <col min="8" max="8" width="13.5703125" style="7" customWidth="1"/>
    <col min="9" max="9" width="14.140625" customWidth="1"/>
    <col min="10" max="10" width="18.140625" customWidth="1"/>
  </cols>
  <sheetData>
    <row r="1" spans="1:10" ht="15" x14ac:dyDescent="0.2">
      <c r="A1" s="916" t="s">
        <v>482</v>
      </c>
      <c r="B1" s="916"/>
      <c r="C1" s="916"/>
      <c r="D1" s="916"/>
      <c r="E1" s="916"/>
      <c r="F1" s="916"/>
      <c r="G1" s="916"/>
      <c r="H1" s="916"/>
      <c r="I1" s="916"/>
      <c r="J1" s="916"/>
    </row>
    <row r="2" spans="1:10" ht="15" x14ac:dyDescent="0.2">
      <c r="A2" s="918" t="s">
        <v>473</v>
      </c>
      <c r="B2" s="918"/>
      <c r="C2" s="918"/>
      <c r="D2" s="918"/>
      <c r="E2" s="918"/>
      <c r="F2" s="918"/>
      <c r="G2" s="918"/>
      <c r="H2" s="918"/>
      <c r="I2" s="918"/>
      <c r="J2" s="918"/>
    </row>
    <row r="3" spans="1:10" s="7" customFormat="1" ht="15" x14ac:dyDescent="0.25">
      <c r="A3" s="226"/>
      <c r="B3" s="226"/>
      <c r="C3" s="226"/>
      <c r="D3" s="226"/>
      <c r="E3" s="226"/>
      <c r="F3" s="226"/>
      <c r="G3" s="226"/>
      <c r="H3" s="287"/>
      <c r="I3" s="873" t="s">
        <v>215</v>
      </c>
      <c r="J3" s="873"/>
    </row>
    <row r="4" spans="1:10" ht="15.75" customHeight="1" thickBot="1" x14ac:dyDescent="0.3">
      <c r="A4" s="917" t="s">
        <v>417</v>
      </c>
      <c r="B4" s="917"/>
      <c r="C4" s="132" t="s">
        <v>163</v>
      </c>
      <c r="D4" s="129"/>
      <c r="E4" s="19"/>
      <c r="F4" s="129"/>
      <c r="G4" s="129"/>
      <c r="H4" s="129"/>
      <c r="I4" s="130" t="s">
        <v>342</v>
      </c>
      <c r="J4" s="131" t="s">
        <v>341</v>
      </c>
    </row>
    <row r="5" spans="1:10" ht="15.75" customHeight="1" thickBot="1" x14ac:dyDescent="0.25">
      <c r="A5" s="133"/>
      <c r="B5" s="920" t="s">
        <v>38</v>
      </c>
      <c r="C5" s="920"/>
      <c r="D5" s="920" t="s">
        <v>39</v>
      </c>
      <c r="E5" s="920"/>
      <c r="F5" s="920" t="s">
        <v>40</v>
      </c>
      <c r="G5" s="920"/>
      <c r="H5" s="920" t="s">
        <v>0</v>
      </c>
      <c r="I5" s="920"/>
      <c r="J5" s="134"/>
    </row>
    <row r="6" spans="1:10" s="161" customFormat="1" ht="15" customHeight="1" x14ac:dyDescent="0.25">
      <c r="A6" s="777"/>
      <c r="B6" s="919" t="s">
        <v>296</v>
      </c>
      <c r="C6" s="919"/>
      <c r="D6" s="919" t="s">
        <v>167</v>
      </c>
      <c r="E6" s="919"/>
      <c r="F6" s="919" t="s">
        <v>164</v>
      </c>
      <c r="G6" s="919"/>
      <c r="H6" s="781"/>
      <c r="I6" s="781" t="s">
        <v>1</v>
      </c>
      <c r="J6" s="777"/>
    </row>
    <row r="7" spans="1:10" s="161" customFormat="1" ht="15" customHeight="1" thickBot="1" x14ac:dyDescent="0.25">
      <c r="A7" s="406"/>
      <c r="B7" s="758" t="s">
        <v>235</v>
      </c>
      <c r="C7" s="758" t="s">
        <v>238</v>
      </c>
      <c r="D7" s="758" t="s">
        <v>235</v>
      </c>
      <c r="E7" s="758" t="s">
        <v>238</v>
      </c>
      <c r="F7" s="758" t="s">
        <v>235</v>
      </c>
      <c r="G7" s="758" t="s">
        <v>238</v>
      </c>
      <c r="H7" s="921" t="s">
        <v>366</v>
      </c>
      <c r="I7" s="758" t="s">
        <v>238</v>
      </c>
      <c r="J7" s="406"/>
    </row>
    <row r="8" spans="1:10" s="716" customFormat="1" ht="15" customHeight="1" thickTop="1" thickBot="1" x14ac:dyDescent="0.25">
      <c r="A8" s="778" t="s">
        <v>52</v>
      </c>
      <c r="B8" s="778" t="s">
        <v>132</v>
      </c>
      <c r="C8" s="779" t="s">
        <v>29</v>
      </c>
      <c r="D8" s="778" t="s">
        <v>132</v>
      </c>
      <c r="E8" s="780" t="s">
        <v>29</v>
      </c>
      <c r="F8" s="778" t="s">
        <v>132</v>
      </c>
      <c r="G8" s="779" t="s">
        <v>29</v>
      </c>
      <c r="H8" s="921"/>
      <c r="I8" s="779" t="s">
        <v>29</v>
      </c>
      <c r="J8" s="779" t="s">
        <v>26</v>
      </c>
    </row>
    <row r="9" spans="1:10" s="485" customFormat="1" ht="15" customHeight="1" thickTop="1" x14ac:dyDescent="0.2">
      <c r="A9" s="575" t="s">
        <v>380</v>
      </c>
      <c r="B9" s="566">
        <v>39</v>
      </c>
      <c r="C9" s="566">
        <f>39*74</f>
        <v>2886</v>
      </c>
      <c r="D9" s="566">
        <v>4601</v>
      </c>
      <c r="E9" s="576">
        <v>426856</v>
      </c>
      <c r="F9" s="566">
        <v>1059</v>
      </c>
      <c r="G9" s="576">
        <v>105080</v>
      </c>
      <c r="H9" s="566">
        <f>B9+D9+F9</f>
        <v>5699</v>
      </c>
      <c r="I9" s="566">
        <f>C9+E9+G9</f>
        <v>534822</v>
      </c>
      <c r="J9" s="578" t="s">
        <v>381</v>
      </c>
    </row>
    <row r="10" spans="1:10" s="313" customFormat="1" ht="15" customHeight="1" x14ac:dyDescent="0.2">
      <c r="A10" s="707" t="s">
        <v>30</v>
      </c>
      <c r="B10" s="703">
        <v>215</v>
      </c>
      <c r="C10" s="703">
        <f>215*74</f>
        <v>15910</v>
      </c>
      <c r="D10" s="703">
        <v>17306</v>
      </c>
      <c r="E10" s="708">
        <v>997393</v>
      </c>
      <c r="F10" s="703">
        <v>4968</v>
      </c>
      <c r="G10" s="708">
        <v>352843</v>
      </c>
      <c r="H10" s="703">
        <f t="shared" ref="H10:H23" si="0">B10+D10+F10</f>
        <v>22489</v>
      </c>
      <c r="I10" s="703">
        <f t="shared" ref="I10:I23" si="1">C10+E10+G10</f>
        <v>1366146</v>
      </c>
      <c r="J10" s="709" t="s">
        <v>31</v>
      </c>
    </row>
    <row r="11" spans="1:10" s="313" customFormat="1" ht="15" customHeight="1" x14ac:dyDescent="0.2">
      <c r="A11" s="577" t="s">
        <v>3</v>
      </c>
      <c r="B11" s="566">
        <v>10064</v>
      </c>
      <c r="C11" s="566">
        <f>10064*74</f>
        <v>744736</v>
      </c>
      <c r="D11" s="566">
        <v>19069</v>
      </c>
      <c r="E11" s="576">
        <v>1119671</v>
      </c>
      <c r="F11" s="566">
        <v>5368</v>
      </c>
      <c r="G11" s="576">
        <v>412165</v>
      </c>
      <c r="H11" s="566">
        <f t="shared" si="0"/>
        <v>34501</v>
      </c>
      <c r="I11" s="566">
        <f t="shared" si="1"/>
        <v>2276572</v>
      </c>
      <c r="J11" s="578" t="s">
        <v>15</v>
      </c>
    </row>
    <row r="12" spans="1:10" s="313" customFormat="1" ht="15" customHeight="1" x14ac:dyDescent="0.2">
      <c r="A12" s="707" t="s">
        <v>365</v>
      </c>
      <c r="B12" s="703">
        <v>0</v>
      </c>
      <c r="C12" s="703">
        <f>0*74</f>
        <v>0</v>
      </c>
      <c r="D12" s="703">
        <v>7254</v>
      </c>
      <c r="E12" s="708">
        <v>598104</v>
      </c>
      <c r="F12" s="703">
        <v>2324</v>
      </c>
      <c r="G12" s="708">
        <v>188352</v>
      </c>
      <c r="H12" s="703">
        <f t="shared" si="0"/>
        <v>9578</v>
      </c>
      <c r="I12" s="703">
        <f t="shared" si="1"/>
        <v>786456</v>
      </c>
      <c r="J12" s="709" t="s">
        <v>359</v>
      </c>
    </row>
    <row r="13" spans="1:10" s="313" customFormat="1" ht="15" customHeight="1" x14ac:dyDescent="0.2">
      <c r="A13" s="577" t="s">
        <v>4</v>
      </c>
      <c r="B13" s="566">
        <v>2757</v>
      </c>
      <c r="C13" s="566">
        <f>2757*74</f>
        <v>204018</v>
      </c>
      <c r="D13" s="566">
        <v>88308</v>
      </c>
      <c r="E13" s="576">
        <v>6011613</v>
      </c>
      <c r="F13" s="566">
        <v>60326</v>
      </c>
      <c r="G13" s="576">
        <v>5184196</v>
      </c>
      <c r="H13" s="566">
        <f t="shared" si="0"/>
        <v>151391</v>
      </c>
      <c r="I13" s="566">
        <f t="shared" si="1"/>
        <v>11399827</v>
      </c>
      <c r="J13" s="578" t="s">
        <v>16</v>
      </c>
    </row>
    <row r="14" spans="1:10" s="313" customFormat="1" ht="15" customHeight="1" x14ac:dyDescent="0.2">
      <c r="A14" s="710" t="s">
        <v>5</v>
      </c>
      <c r="B14" s="703">
        <v>0</v>
      </c>
      <c r="C14" s="703">
        <f>0*74</f>
        <v>0</v>
      </c>
      <c r="D14" s="703">
        <v>15663</v>
      </c>
      <c r="E14" s="708">
        <v>1234751</v>
      </c>
      <c r="F14" s="703">
        <v>19805</v>
      </c>
      <c r="G14" s="708">
        <v>1887034</v>
      </c>
      <c r="H14" s="703">
        <f t="shared" si="0"/>
        <v>35468</v>
      </c>
      <c r="I14" s="703">
        <f t="shared" si="1"/>
        <v>3121785</v>
      </c>
      <c r="J14" s="711" t="s">
        <v>23</v>
      </c>
    </row>
    <row r="15" spans="1:10" s="313" customFormat="1" ht="15" customHeight="1" x14ac:dyDescent="0.2">
      <c r="A15" s="577" t="s">
        <v>6</v>
      </c>
      <c r="B15" s="566">
        <v>402</v>
      </c>
      <c r="C15" s="566">
        <f>402*74</f>
        <v>29748</v>
      </c>
      <c r="D15" s="566">
        <v>13354</v>
      </c>
      <c r="E15" s="576">
        <v>1074035</v>
      </c>
      <c r="F15" s="566">
        <v>6651</v>
      </c>
      <c r="G15" s="576">
        <v>642172</v>
      </c>
      <c r="H15" s="566">
        <f t="shared" si="0"/>
        <v>20407</v>
      </c>
      <c r="I15" s="566">
        <f t="shared" si="1"/>
        <v>1745955</v>
      </c>
      <c r="J15" s="578" t="s">
        <v>24</v>
      </c>
    </row>
    <row r="16" spans="1:10" s="313" customFormat="1" ht="15" customHeight="1" x14ac:dyDescent="0.2">
      <c r="A16" s="710" t="s">
        <v>11</v>
      </c>
      <c r="B16" s="703">
        <v>0</v>
      </c>
      <c r="C16" s="703">
        <f>0*74</f>
        <v>0</v>
      </c>
      <c r="D16" s="703">
        <v>9823</v>
      </c>
      <c r="E16" s="708">
        <v>593939</v>
      </c>
      <c r="F16" s="703">
        <v>3433</v>
      </c>
      <c r="G16" s="708">
        <v>273712</v>
      </c>
      <c r="H16" s="703">
        <f t="shared" si="0"/>
        <v>13256</v>
      </c>
      <c r="I16" s="703">
        <f t="shared" si="1"/>
        <v>867651</v>
      </c>
      <c r="J16" s="711" t="s">
        <v>21</v>
      </c>
    </row>
    <row r="17" spans="1:12" s="313" customFormat="1" ht="15" customHeight="1" x14ac:dyDescent="0.2">
      <c r="A17" s="577" t="s">
        <v>2</v>
      </c>
      <c r="B17" s="566">
        <v>135</v>
      </c>
      <c r="C17" s="566">
        <f>135*60</f>
        <v>8100</v>
      </c>
      <c r="D17" s="566">
        <v>9623</v>
      </c>
      <c r="E17" s="576">
        <v>460679</v>
      </c>
      <c r="F17" s="566">
        <v>343</v>
      </c>
      <c r="G17" s="576">
        <v>28830</v>
      </c>
      <c r="H17" s="566">
        <f t="shared" si="0"/>
        <v>10101</v>
      </c>
      <c r="I17" s="566">
        <f t="shared" si="1"/>
        <v>497609</v>
      </c>
      <c r="J17" s="578" t="s">
        <v>14</v>
      </c>
      <c r="L17" s="313">
        <v>4</v>
      </c>
    </row>
    <row r="18" spans="1:12" s="313" customFormat="1" ht="15" customHeight="1" x14ac:dyDescent="0.2">
      <c r="A18" s="710" t="s">
        <v>7</v>
      </c>
      <c r="B18" s="703">
        <v>0</v>
      </c>
      <c r="C18" s="703">
        <f>0*74</f>
        <v>0</v>
      </c>
      <c r="D18" s="703">
        <v>27456</v>
      </c>
      <c r="E18" s="708">
        <v>1731100</v>
      </c>
      <c r="F18" s="703">
        <v>4560</v>
      </c>
      <c r="G18" s="708">
        <v>261485</v>
      </c>
      <c r="H18" s="703">
        <f t="shared" si="0"/>
        <v>32016</v>
      </c>
      <c r="I18" s="703">
        <f t="shared" si="1"/>
        <v>1992585</v>
      </c>
      <c r="J18" s="711" t="s">
        <v>17</v>
      </c>
    </row>
    <row r="19" spans="1:12" s="313" customFormat="1" ht="14.25" customHeight="1" x14ac:dyDescent="0.2">
      <c r="A19" s="712" t="s">
        <v>8</v>
      </c>
      <c r="B19" s="713">
        <v>0</v>
      </c>
      <c r="C19" s="713">
        <f>0*74</f>
        <v>0</v>
      </c>
      <c r="D19" s="713">
        <v>13835</v>
      </c>
      <c r="E19" s="714">
        <v>995148</v>
      </c>
      <c r="F19" s="713">
        <v>0</v>
      </c>
      <c r="G19" s="714">
        <v>0</v>
      </c>
      <c r="H19" s="713">
        <f t="shared" si="0"/>
        <v>13835</v>
      </c>
      <c r="I19" s="713">
        <f t="shared" si="1"/>
        <v>995148</v>
      </c>
      <c r="J19" s="715" t="s">
        <v>18</v>
      </c>
    </row>
    <row r="20" spans="1:12" s="313" customFormat="1" ht="16.5" customHeight="1" x14ac:dyDescent="0.2">
      <c r="A20" s="710" t="s">
        <v>9</v>
      </c>
      <c r="B20" s="703">
        <v>0</v>
      </c>
      <c r="C20" s="703">
        <f>0*74</f>
        <v>0</v>
      </c>
      <c r="D20" s="703">
        <v>10680</v>
      </c>
      <c r="E20" s="708">
        <v>610537</v>
      </c>
      <c r="F20" s="703">
        <v>0</v>
      </c>
      <c r="G20" s="708">
        <v>0</v>
      </c>
      <c r="H20" s="703">
        <f t="shared" si="0"/>
        <v>10680</v>
      </c>
      <c r="I20" s="703">
        <f t="shared" si="1"/>
        <v>610537</v>
      </c>
      <c r="J20" s="711" t="s">
        <v>19</v>
      </c>
    </row>
    <row r="21" spans="1:12" s="313" customFormat="1" ht="16.5" customHeight="1" x14ac:dyDescent="0.2">
      <c r="A21" s="577" t="s">
        <v>10</v>
      </c>
      <c r="B21" s="566">
        <v>0</v>
      </c>
      <c r="C21" s="566">
        <f>0*74</f>
        <v>0</v>
      </c>
      <c r="D21" s="566">
        <v>13459</v>
      </c>
      <c r="E21" s="576">
        <v>772226</v>
      </c>
      <c r="F21" s="566">
        <v>7073</v>
      </c>
      <c r="G21" s="576">
        <v>755306</v>
      </c>
      <c r="H21" s="566">
        <f t="shared" si="0"/>
        <v>20532</v>
      </c>
      <c r="I21" s="566">
        <f t="shared" si="1"/>
        <v>1527532</v>
      </c>
      <c r="J21" s="578" t="s">
        <v>20</v>
      </c>
    </row>
    <row r="22" spans="1:12" s="313" customFormat="1" ht="15" customHeight="1" x14ac:dyDescent="0.2">
      <c r="A22" s="710" t="s">
        <v>12</v>
      </c>
      <c r="B22" s="703">
        <v>0</v>
      </c>
      <c r="C22" s="703">
        <f>0*74</f>
        <v>0</v>
      </c>
      <c r="D22" s="703">
        <v>2939</v>
      </c>
      <c r="E22" s="708">
        <v>150002</v>
      </c>
      <c r="F22" s="703">
        <v>307</v>
      </c>
      <c r="G22" s="708">
        <v>27800</v>
      </c>
      <c r="H22" s="703">
        <f t="shared" si="0"/>
        <v>3246</v>
      </c>
      <c r="I22" s="703">
        <f t="shared" si="1"/>
        <v>177802</v>
      </c>
      <c r="J22" s="711" t="s">
        <v>25</v>
      </c>
    </row>
    <row r="23" spans="1:12" s="313" customFormat="1" ht="15" customHeight="1" thickBot="1" x14ac:dyDescent="0.25">
      <c r="A23" s="577" t="s">
        <v>13</v>
      </c>
      <c r="B23" s="566">
        <v>46</v>
      </c>
      <c r="C23" s="566">
        <f>46*74</f>
        <v>3404</v>
      </c>
      <c r="D23" s="566">
        <v>24955</v>
      </c>
      <c r="E23" s="576">
        <v>2278271</v>
      </c>
      <c r="F23" s="566">
        <v>17851</v>
      </c>
      <c r="G23" s="576">
        <v>1313101</v>
      </c>
      <c r="H23" s="566">
        <f t="shared" si="0"/>
        <v>42852</v>
      </c>
      <c r="I23" s="566">
        <f t="shared" si="1"/>
        <v>3594776</v>
      </c>
      <c r="J23" s="578" t="s">
        <v>22</v>
      </c>
    </row>
    <row r="24" spans="1:12" s="537" customFormat="1" ht="20.25" customHeight="1" thickBot="1" x14ac:dyDescent="0.25">
      <c r="A24" s="579" t="s">
        <v>0</v>
      </c>
      <c r="B24" s="572">
        <f t="shared" ref="B24:I24" si="2">SUM(B9:B23)</f>
        <v>13658</v>
      </c>
      <c r="C24" s="572">
        <f t="shared" si="2"/>
        <v>1008802</v>
      </c>
      <c r="D24" s="572">
        <f t="shared" si="2"/>
        <v>278325</v>
      </c>
      <c r="E24" s="580">
        <f t="shared" si="2"/>
        <v>19054325</v>
      </c>
      <c r="F24" s="572">
        <f t="shared" si="2"/>
        <v>134068</v>
      </c>
      <c r="G24" s="580">
        <f t="shared" si="2"/>
        <v>11432076</v>
      </c>
      <c r="H24" s="572">
        <f t="shared" si="2"/>
        <v>426051</v>
      </c>
      <c r="I24" s="572">
        <f t="shared" si="2"/>
        <v>31495203</v>
      </c>
      <c r="J24" s="581" t="s">
        <v>1</v>
      </c>
    </row>
    <row r="25" spans="1:12" s="7" customFormat="1" ht="20.25" customHeight="1" x14ac:dyDescent="0.2">
      <c r="A25" s="889"/>
      <c r="B25" s="889"/>
      <c r="C25" s="889"/>
      <c r="D25" s="889"/>
      <c r="E25" s="889"/>
      <c r="F25" s="889"/>
      <c r="G25" s="889"/>
      <c r="H25" s="889"/>
      <c r="I25" s="889"/>
      <c r="J25" s="207"/>
    </row>
    <row r="26" spans="1:12" ht="14.25" x14ac:dyDescent="0.2">
      <c r="C26" s="7"/>
      <c r="D26" s="7"/>
      <c r="E26" s="7"/>
      <c r="F26" s="7"/>
      <c r="G26" s="7"/>
      <c r="I26" s="1"/>
      <c r="J26" s="197"/>
      <c r="K26" s="1"/>
    </row>
    <row r="27" spans="1:12" ht="15" customHeight="1" x14ac:dyDescent="0.25">
      <c r="A27" s="908"/>
      <c r="B27" s="908"/>
      <c r="C27" s="7"/>
      <c r="D27" s="7"/>
      <c r="E27" s="7"/>
      <c r="F27" s="7"/>
      <c r="G27" s="7"/>
      <c r="I27" s="1"/>
      <c r="J27" s="53"/>
      <c r="L27" s="53"/>
    </row>
    <row r="28" spans="1:12" ht="1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2" ht="1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2" ht="1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2" ht="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2" ht="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14">
    <mergeCell ref="I3:J3"/>
    <mergeCell ref="A27:B27"/>
    <mergeCell ref="A1:J1"/>
    <mergeCell ref="A4:B4"/>
    <mergeCell ref="A2:J2"/>
    <mergeCell ref="A25:I25"/>
    <mergeCell ref="F6:G6"/>
    <mergeCell ref="F5:G5"/>
    <mergeCell ref="D5:E5"/>
    <mergeCell ref="D6:E6"/>
    <mergeCell ref="B6:C6"/>
    <mergeCell ref="B5:C5"/>
    <mergeCell ref="H7:H8"/>
    <mergeCell ref="H5:I5"/>
  </mergeCells>
  <phoneticPr fontId="3" type="noConversion"/>
  <printOptions horizontalCentered="1" verticalCentered="1"/>
  <pageMargins left="0.25" right="0.63" top="1.1200000000000001" bottom="0.75" header="0.55000000000000004" footer="0.3"/>
  <pageSetup orientation="landscape" verticalDpi="300" r:id="rId1"/>
  <headerFooter alignWithMargins="0">
    <oddFooter>&amp;C40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9"/>
  <sheetViews>
    <sheetView rightToLeft="1" topLeftCell="E1" zoomScaleSheetLayoutView="106" workbookViewId="0">
      <selection activeCell="M35" sqref="M35"/>
    </sheetView>
  </sheetViews>
  <sheetFormatPr defaultRowHeight="12.75" x14ac:dyDescent="0.2"/>
  <cols>
    <col min="1" max="1" width="12" customWidth="1"/>
    <col min="2" max="2" width="12.7109375" customWidth="1"/>
    <col min="3" max="3" width="15.7109375" customWidth="1"/>
    <col min="4" max="4" width="11.28515625" customWidth="1"/>
    <col min="5" max="5" width="13.28515625" customWidth="1"/>
    <col min="6" max="6" width="10.5703125" customWidth="1"/>
    <col min="7" max="7" width="11.85546875" customWidth="1"/>
    <col min="8" max="8" width="13.28515625" customWidth="1"/>
    <col min="9" max="9" width="14.85546875" customWidth="1"/>
    <col min="10" max="10" width="16.42578125" customWidth="1"/>
  </cols>
  <sheetData>
    <row r="1" spans="1:13" ht="15" x14ac:dyDescent="0.2">
      <c r="A1" s="922" t="s">
        <v>482</v>
      </c>
      <c r="B1" s="922"/>
      <c r="C1" s="922"/>
      <c r="D1" s="922"/>
      <c r="E1" s="922"/>
      <c r="F1" s="922"/>
      <c r="G1" s="922"/>
      <c r="H1" s="922"/>
      <c r="I1" s="922"/>
      <c r="J1" s="922"/>
    </row>
    <row r="2" spans="1:13" ht="15" x14ac:dyDescent="0.2">
      <c r="A2" s="924" t="s">
        <v>483</v>
      </c>
      <c r="B2" s="924"/>
      <c r="C2" s="924"/>
      <c r="D2" s="924"/>
      <c r="E2" s="924"/>
      <c r="F2" s="924"/>
      <c r="G2" s="924"/>
      <c r="H2" s="924"/>
      <c r="I2" s="924"/>
      <c r="J2" s="924"/>
    </row>
    <row r="3" spans="1:13" s="7" customFormat="1" ht="15" x14ac:dyDescent="0.25">
      <c r="A3" s="227"/>
      <c r="B3" s="227"/>
      <c r="C3" s="227"/>
      <c r="D3" s="227"/>
      <c r="E3" s="227"/>
      <c r="F3" s="227"/>
      <c r="G3" s="227"/>
      <c r="H3" s="227"/>
      <c r="I3" s="873" t="s">
        <v>215</v>
      </c>
      <c r="J3" s="873"/>
    </row>
    <row r="4" spans="1:13" ht="14.25" customHeight="1" thickBot="1" x14ac:dyDescent="0.3">
      <c r="A4" s="923" t="s">
        <v>417</v>
      </c>
      <c r="B4" s="923"/>
      <c r="C4" s="923" t="s">
        <v>32</v>
      </c>
      <c r="D4" s="923"/>
      <c r="E4" s="135"/>
      <c r="F4" s="25"/>
      <c r="G4" s="136"/>
      <c r="H4" s="925" t="s">
        <v>343</v>
      </c>
      <c r="I4" s="925"/>
      <c r="J4" s="137" t="s">
        <v>335</v>
      </c>
    </row>
    <row r="5" spans="1:13" ht="15" customHeight="1" x14ac:dyDescent="0.25">
      <c r="A5" s="9"/>
      <c r="B5" s="926" t="s">
        <v>373</v>
      </c>
      <c r="C5" s="926"/>
      <c r="D5" s="926" t="s">
        <v>242</v>
      </c>
      <c r="E5" s="926"/>
      <c r="F5" s="926" t="s">
        <v>48</v>
      </c>
      <c r="G5" s="926"/>
      <c r="H5" s="926" t="s">
        <v>49</v>
      </c>
      <c r="I5" s="926"/>
      <c r="J5" s="138"/>
    </row>
    <row r="6" spans="1:13" ht="15" customHeight="1" x14ac:dyDescent="0.25">
      <c r="A6" s="139"/>
      <c r="B6" s="924" t="s">
        <v>297</v>
      </c>
      <c r="C6" s="924"/>
      <c r="D6" s="924" t="s">
        <v>165</v>
      </c>
      <c r="E6" s="924"/>
      <c r="F6" s="853" t="s">
        <v>298</v>
      </c>
      <c r="G6" s="853"/>
      <c r="H6" s="924" t="s">
        <v>299</v>
      </c>
      <c r="I6" s="924"/>
      <c r="J6" s="139"/>
    </row>
    <row r="7" spans="1:13" ht="15" customHeight="1" x14ac:dyDescent="0.2">
      <c r="A7" s="139"/>
      <c r="B7" s="408" t="s">
        <v>42</v>
      </c>
      <c r="C7" s="408" t="s">
        <v>238</v>
      </c>
      <c r="D7" s="408" t="s">
        <v>42</v>
      </c>
      <c r="E7" s="408" t="s">
        <v>238</v>
      </c>
      <c r="F7" s="408" t="s">
        <v>27</v>
      </c>
      <c r="G7" s="408" t="s">
        <v>238</v>
      </c>
      <c r="H7" s="409" t="s">
        <v>27</v>
      </c>
      <c r="I7" s="409" t="s">
        <v>238</v>
      </c>
      <c r="J7" s="410"/>
    </row>
    <row r="8" spans="1:13" ht="15.75" customHeight="1" x14ac:dyDescent="0.2">
      <c r="A8" s="140" t="s">
        <v>141</v>
      </c>
      <c r="B8" s="411" t="s">
        <v>43</v>
      </c>
      <c r="C8" s="412" t="s">
        <v>29</v>
      </c>
      <c r="D8" s="412" t="s">
        <v>43</v>
      </c>
      <c r="E8" s="412" t="s">
        <v>29</v>
      </c>
      <c r="F8" s="412" t="s">
        <v>133</v>
      </c>
      <c r="G8" s="412" t="s">
        <v>29</v>
      </c>
      <c r="H8" s="210" t="s">
        <v>133</v>
      </c>
      <c r="I8" s="210" t="s">
        <v>29</v>
      </c>
      <c r="J8" s="410" t="s">
        <v>26</v>
      </c>
      <c r="K8" s="7"/>
      <c r="L8" s="7"/>
      <c r="M8" s="7"/>
    </row>
    <row r="9" spans="1:13" s="7" customFormat="1" ht="6.75" customHeight="1" x14ac:dyDescent="0.2">
      <c r="A9" s="140"/>
      <c r="B9" s="411"/>
      <c r="C9" s="412"/>
      <c r="D9" s="412"/>
      <c r="E9" s="412"/>
      <c r="F9" s="412"/>
      <c r="G9" s="412"/>
      <c r="H9" s="210"/>
      <c r="I9" s="210"/>
      <c r="J9" s="410"/>
    </row>
    <row r="10" spans="1:13" s="400" customFormat="1" ht="6" customHeight="1" thickBot="1" x14ac:dyDescent="0.25">
      <c r="A10" s="407"/>
      <c r="B10" s="413"/>
      <c r="C10" s="414"/>
      <c r="D10" s="414"/>
      <c r="E10" s="414"/>
      <c r="F10" s="414"/>
      <c r="G10" s="414"/>
      <c r="H10" s="415"/>
      <c r="I10" s="415"/>
      <c r="J10" s="416"/>
    </row>
    <row r="11" spans="1:13" s="313" customFormat="1" ht="15" customHeight="1" x14ac:dyDescent="0.2">
      <c r="A11" s="582" t="s">
        <v>380</v>
      </c>
      <c r="B11" s="583">
        <v>63699</v>
      </c>
      <c r="C11" s="583">
        <v>192040</v>
      </c>
      <c r="D11" s="583">
        <v>232</v>
      </c>
      <c r="E11" s="583">
        <f>232*2</f>
        <v>464</v>
      </c>
      <c r="F11" s="583">
        <v>6697</v>
      </c>
      <c r="G11" s="583">
        <v>283057</v>
      </c>
      <c r="H11" s="583">
        <v>3080</v>
      </c>
      <c r="I11" s="583">
        <v>702</v>
      </c>
      <c r="J11" s="584" t="s">
        <v>381</v>
      </c>
    </row>
    <row r="12" spans="1:13" s="313" customFormat="1" ht="15" customHeight="1" x14ac:dyDescent="0.2">
      <c r="A12" s="717" t="s">
        <v>30</v>
      </c>
      <c r="B12" s="718">
        <v>303906</v>
      </c>
      <c r="C12" s="718">
        <v>597117</v>
      </c>
      <c r="D12" s="718">
        <v>487</v>
      </c>
      <c r="E12" s="718">
        <f t="shared" ref="E12:E15" si="0">232*2</f>
        <v>464</v>
      </c>
      <c r="F12" s="718">
        <v>18330</v>
      </c>
      <c r="G12" s="718">
        <v>1244013</v>
      </c>
      <c r="H12" s="718">
        <v>11465</v>
      </c>
      <c r="I12" s="718">
        <v>48277</v>
      </c>
      <c r="J12" s="719" t="s">
        <v>31</v>
      </c>
    </row>
    <row r="13" spans="1:13" s="313" customFormat="1" ht="15" customHeight="1" x14ac:dyDescent="0.2">
      <c r="A13" s="585" t="s">
        <v>3</v>
      </c>
      <c r="B13" s="583">
        <v>216320</v>
      </c>
      <c r="C13" s="583">
        <v>192284</v>
      </c>
      <c r="D13" s="583">
        <v>808</v>
      </c>
      <c r="E13" s="583">
        <f t="shared" si="0"/>
        <v>464</v>
      </c>
      <c r="F13" s="583">
        <v>22724</v>
      </c>
      <c r="G13" s="583">
        <v>1140704</v>
      </c>
      <c r="H13" s="583">
        <v>13531</v>
      </c>
      <c r="I13" s="583">
        <v>1370</v>
      </c>
      <c r="J13" s="586" t="s">
        <v>15</v>
      </c>
    </row>
    <row r="14" spans="1:13" s="313" customFormat="1" ht="15" customHeight="1" x14ac:dyDescent="0.2">
      <c r="A14" s="717" t="s">
        <v>365</v>
      </c>
      <c r="B14" s="718">
        <v>134958</v>
      </c>
      <c r="C14" s="718">
        <v>128611</v>
      </c>
      <c r="D14" s="718">
        <v>278</v>
      </c>
      <c r="E14" s="718">
        <f t="shared" si="0"/>
        <v>464</v>
      </c>
      <c r="F14" s="718">
        <v>7155</v>
      </c>
      <c r="G14" s="718">
        <v>599058</v>
      </c>
      <c r="H14" s="718">
        <v>4826</v>
      </c>
      <c r="I14" s="718">
        <v>346</v>
      </c>
      <c r="J14" s="719" t="s">
        <v>359</v>
      </c>
    </row>
    <row r="15" spans="1:13" s="313" customFormat="1" ht="15" customHeight="1" x14ac:dyDescent="0.2">
      <c r="A15" s="585" t="s">
        <v>4</v>
      </c>
      <c r="B15" s="583">
        <v>1727534</v>
      </c>
      <c r="C15" s="583">
        <v>1544021</v>
      </c>
      <c r="D15" s="583">
        <v>5148</v>
      </c>
      <c r="E15" s="583">
        <f t="shared" si="0"/>
        <v>464</v>
      </c>
      <c r="F15" s="583">
        <v>171052</v>
      </c>
      <c r="G15" s="583">
        <f>F15*53</f>
        <v>9065756</v>
      </c>
      <c r="H15" s="583">
        <v>81020</v>
      </c>
      <c r="I15" s="583">
        <v>5540</v>
      </c>
      <c r="J15" s="586" t="s">
        <v>16</v>
      </c>
    </row>
    <row r="16" spans="1:13" s="313" customFormat="1" ht="15" customHeight="1" x14ac:dyDescent="0.2">
      <c r="A16" s="720" t="s">
        <v>5</v>
      </c>
      <c r="B16" s="718">
        <v>283250</v>
      </c>
      <c r="C16" s="718">
        <v>577515</v>
      </c>
      <c r="D16" s="718">
        <v>528</v>
      </c>
      <c r="E16" s="718">
        <f>528*1</f>
        <v>528</v>
      </c>
      <c r="F16" s="718">
        <v>27487</v>
      </c>
      <c r="G16" s="718">
        <v>1540220</v>
      </c>
      <c r="H16" s="718">
        <v>14658</v>
      </c>
      <c r="I16" s="718">
        <v>118334</v>
      </c>
      <c r="J16" s="721" t="s">
        <v>23</v>
      </c>
    </row>
    <row r="17" spans="1:10" s="313" customFormat="1" ht="15" customHeight="1" x14ac:dyDescent="0.2">
      <c r="A17" s="585" t="s">
        <v>6</v>
      </c>
      <c r="B17" s="583">
        <v>124185</v>
      </c>
      <c r="C17" s="583">
        <v>119007</v>
      </c>
      <c r="D17" s="583">
        <v>545</v>
      </c>
      <c r="E17" s="583">
        <f t="shared" ref="E17:E18" si="1">528*1</f>
        <v>528</v>
      </c>
      <c r="F17" s="583">
        <v>30916</v>
      </c>
      <c r="G17" s="583">
        <v>848831</v>
      </c>
      <c r="H17" s="583">
        <v>12239</v>
      </c>
      <c r="I17" s="583">
        <v>6596</v>
      </c>
      <c r="J17" s="586" t="s">
        <v>24</v>
      </c>
    </row>
    <row r="18" spans="1:10" s="313" customFormat="1" ht="15" customHeight="1" x14ac:dyDescent="0.2">
      <c r="A18" s="720" t="s">
        <v>11</v>
      </c>
      <c r="B18" s="718">
        <v>121418</v>
      </c>
      <c r="C18" s="718">
        <v>122281</v>
      </c>
      <c r="D18" s="718">
        <v>365</v>
      </c>
      <c r="E18" s="718">
        <f t="shared" si="1"/>
        <v>528</v>
      </c>
      <c r="F18" s="718">
        <v>13105</v>
      </c>
      <c r="G18" s="718">
        <f>F18*53</f>
        <v>694565</v>
      </c>
      <c r="H18" s="718">
        <v>6787</v>
      </c>
      <c r="I18" s="718">
        <v>572</v>
      </c>
      <c r="J18" s="721" t="s">
        <v>21</v>
      </c>
    </row>
    <row r="19" spans="1:10" s="313" customFormat="1" ht="15" customHeight="1" x14ac:dyDescent="0.2">
      <c r="A19" s="585" t="s">
        <v>2</v>
      </c>
      <c r="B19" s="583">
        <v>195796</v>
      </c>
      <c r="C19" s="583">
        <v>579758</v>
      </c>
      <c r="D19" s="583">
        <v>331</v>
      </c>
      <c r="E19" s="583">
        <f>331*2</f>
        <v>662</v>
      </c>
      <c r="F19" s="583">
        <v>11706</v>
      </c>
      <c r="G19" s="583">
        <v>589683</v>
      </c>
      <c r="H19" s="583">
        <v>6598</v>
      </c>
      <c r="I19" s="583">
        <v>32783</v>
      </c>
      <c r="J19" s="586" t="s">
        <v>14</v>
      </c>
    </row>
    <row r="20" spans="1:10" s="313" customFormat="1" ht="15" customHeight="1" x14ac:dyDescent="0.2">
      <c r="A20" s="720" t="s">
        <v>7</v>
      </c>
      <c r="B20" s="718">
        <v>387109</v>
      </c>
      <c r="C20" s="718">
        <v>359710</v>
      </c>
      <c r="D20" s="718">
        <v>916</v>
      </c>
      <c r="E20" s="718">
        <f>916*1</f>
        <v>916</v>
      </c>
      <c r="F20" s="718">
        <v>37811</v>
      </c>
      <c r="G20" s="718">
        <v>2497355</v>
      </c>
      <c r="H20" s="718">
        <v>17739</v>
      </c>
      <c r="I20" s="718">
        <v>2189</v>
      </c>
      <c r="J20" s="721" t="s">
        <v>17</v>
      </c>
    </row>
    <row r="21" spans="1:10" s="313" customFormat="1" ht="15" customHeight="1" x14ac:dyDescent="0.2">
      <c r="A21" s="585" t="s">
        <v>8</v>
      </c>
      <c r="B21" s="583">
        <v>225185</v>
      </c>
      <c r="C21" s="583">
        <v>226252</v>
      </c>
      <c r="D21" s="583">
        <v>424</v>
      </c>
      <c r="E21" s="583">
        <f t="shared" ref="E21:E22" si="2">916*1</f>
        <v>916</v>
      </c>
      <c r="F21" s="583">
        <v>18052</v>
      </c>
      <c r="G21" s="583">
        <v>1034084</v>
      </c>
      <c r="H21" s="583">
        <v>11015</v>
      </c>
      <c r="I21" s="583">
        <f>H21*4</f>
        <v>44060</v>
      </c>
      <c r="J21" s="586" t="s">
        <v>18</v>
      </c>
    </row>
    <row r="22" spans="1:10" s="313" customFormat="1" ht="15" customHeight="1" x14ac:dyDescent="0.2">
      <c r="A22" s="720" t="s">
        <v>9</v>
      </c>
      <c r="B22" s="718">
        <v>167639</v>
      </c>
      <c r="C22" s="718">
        <v>141636</v>
      </c>
      <c r="D22" s="718">
        <v>291</v>
      </c>
      <c r="E22" s="718">
        <f t="shared" si="2"/>
        <v>916</v>
      </c>
      <c r="F22" s="718">
        <v>20007</v>
      </c>
      <c r="G22" s="718">
        <v>351870</v>
      </c>
      <c r="H22" s="718">
        <v>7542</v>
      </c>
      <c r="I22" s="718">
        <v>69746</v>
      </c>
      <c r="J22" s="721" t="s">
        <v>19</v>
      </c>
    </row>
    <row r="23" spans="1:10" s="313" customFormat="1" ht="15" customHeight="1" x14ac:dyDescent="0.2">
      <c r="A23" s="585" t="s">
        <v>10</v>
      </c>
      <c r="B23" s="583">
        <v>332469</v>
      </c>
      <c r="C23" s="583">
        <v>295780</v>
      </c>
      <c r="D23" s="583">
        <v>699</v>
      </c>
      <c r="E23" s="583">
        <f>699*2</f>
        <v>1398</v>
      </c>
      <c r="F23" s="583">
        <v>16524</v>
      </c>
      <c r="G23" s="583">
        <v>689563</v>
      </c>
      <c r="H23" s="583">
        <v>9670</v>
      </c>
      <c r="I23" s="583">
        <v>367</v>
      </c>
      <c r="J23" s="586" t="s">
        <v>20</v>
      </c>
    </row>
    <row r="24" spans="1:10" s="313" customFormat="1" ht="15" customHeight="1" x14ac:dyDescent="0.2">
      <c r="A24" s="720" t="s">
        <v>12</v>
      </c>
      <c r="B24" s="718">
        <v>47941</v>
      </c>
      <c r="C24" s="718">
        <v>97278</v>
      </c>
      <c r="D24" s="718">
        <v>167</v>
      </c>
      <c r="E24" s="718">
        <f t="shared" ref="E24:E25" si="3">699*2</f>
        <v>1398</v>
      </c>
      <c r="F24" s="718">
        <v>4229</v>
      </c>
      <c r="G24" s="718">
        <v>230012</v>
      </c>
      <c r="H24" s="718">
        <v>2353</v>
      </c>
      <c r="I24" s="718">
        <v>42</v>
      </c>
      <c r="J24" s="721" t="s">
        <v>25</v>
      </c>
    </row>
    <row r="25" spans="1:10" s="313" customFormat="1" ht="15" customHeight="1" thickBot="1" x14ac:dyDescent="0.25">
      <c r="A25" s="585" t="s">
        <v>13</v>
      </c>
      <c r="B25" s="583">
        <v>272452</v>
      </c>
      <c r="C25" s="583">
        <v>277253</v>
      </c>
      <c r="D25" s="583">
        <v>978</v>
      </c>
      <c r="E25" s="583">
        <f t="shared" si="3"/>
        <v>1398</v>
      </c>
      <c r="F25" s="583">
        <v>37828</v>
      </c>
      <c r="G25" s="583">
        <v>2633954</v>
      </c>
      <c r="H25" s="583">
        <v>14853</v>
      </c>
      <c r="I25" s="583">
        <v>180</v>
      </c>
      <c r="J25" s="586" t="s">
        <v>22</v>
      </c>
    </row>
    <row r="26" spans="1:10" s="369" customFormat="1" ht="20.25" customHeight="1" thickBot="1" x14ac:dyDescent="0.25">
      <c r="A26" s="417" t="s">
        <v>0</v>
      </c>
      <c r="B26" s="418">
        <f t="shared" ref="B26:I26" si="4">SUM(B11:B25)</f>
        <v>4603861</v>
      </c>
      <c r="C26" s="418">
        <f t="shared" si="4"/>
        <v>5450543</v>
      </c>
      <c r="D26" s="418">
        <f t="shared" si="4"/>
        <v>12197</v>
      </c>
      <c r="E26" s="418">
        <f t="shared" si="4"/>
        <v>11508</v>
      </c>
      <c r="F26" s="418">
        <f t="shared" si="4"/>
        <v>443623</v>
      </c>
      <c r="G26" s="418">
        <f t="shared" si="4"/>
        <v>23442725</v>
      </c>
      <c r="H26" s="418">
        <f t="shared" si="4"/>
        <v>217376</v>
      </c>
      <c r="I26" s="418">
        <f t="shared" si="4"/>
        <v>331104</v>
      </c>
      <c r="J26" s="419" t="s">
        <v>1</v>
      </c>
    </row>
    <row r="27" spans="1:10" s="7" customFormat="1" ht="20.25" customHeight="1" x14ac:dyDescent="0.2">
      <c r="A27" s="889"/>
      <c r="B27" s="889"/>
      <c r="C27" s="889"/>
      <c r="D27" s="889"/>
      <c r="E27" s="889"/>
      <c r="F27" s="889"/>
      <c r="G27" s="889"/>
      <c r="H27" s="889"/>
      <c r="I27" s="208"/>
      <c r="J27" s="209"/>
    </row>
    <row r="28" spans="1:10" ht="14.25" x14ac:dyDescent="0.2">
      <c r="C28" s="7"/>
      <c r="D28" s="7"/>
      <c r="E28" s="7"/>
      <c r="F28" s="7"/>
      <c r="G28" s="7"/>
      <c r="H28" s="1"/>
      <c r="J28" s="197"/>
    </row>
    <row r="29" spans="1:10" ht="12.75" customHeight="1" x14ac:dyDescent="0.25">
      <c r="A29" s="908"/>
      <c r="B29" s="908"/>
      <c r="C29" s="7"/>
      <c r="D29" s="7"/>
      <c r="E29" s="7"/>
      <c r="F29" s="7"/>
      <c r="G29" s="7"/>
      <c r="H29" s="1"/>
      <c r="I29" s="909"/>
      <c r="J29" s="909"/>
    </row>
  </sheetData>
  <mergeCells count="17">
    <mergeCell ref="H6:I6"/>
    <mergeCell ref="A1:J1"/>
    <mergeCell ref="A4:B4"/>
    <mergeCell ref="A2:J2"/>
    <mergeCell ref="I3:J3"/>
    <mergeCell ref="A29:B29"/>
    <mergeCell ref="I29:J29"/>
    <mergeCell ref="C4:D4"/>
    <mergeCell ref="H4:I4"/>
    <mergeCell ref="A27:H27"/>
    <mergeCell ref="B5:C5"/>
    <mergeCell ref="B6:C6"/>
    <mergeCell ref="F5:G5"/>
    <mergeCell ref="F6:G6"/>
    <mergeCell ref="D5:E5"/>
    <mergeCell ref="D6:E6"/>
    <mergeCell ref="H5:I5"/>
  </mergeCells>
  <phoneticPr fontId="3" type="noConversion"/>
  <printOptions horizontalCentered="1" verticalCentered="1"/>
  <pageMargins left="0.24" right="0.3" top="1.0416666666666666E-2" bottom="0.75" header="0.3" footer="0.3"/>
  <pageSetup orientation="landscape" verticalDpi="300" r:id="rId1"/>
  <headerFooter alignWithMargins="0">
    <oddFooter>&amp;C41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K27"/>
  <sheetViews>
    <sheetView rightToLeft="1" zoomScaleSheetLayoutView="100" workbookViewId="0">
      <selection activeCell="L18" sqref="L18"/>
    </sheetView>
  </sheetViews>
  <sheetFormatPr defaultRowHeight="12.75" x14ac:dyDescent="0.2"/>
  <cols>
    <col min="1" max="1" width="12" customWidth="1"/>
    <col min="2" max="2" width="12.5703125" customWidth="1"/>
    <col min="3" max="3" width="13.7109375" customWidth="1"/>
    <col min="4" max="5" width="14.42578125" customWidth="1"/>
    <col min="6" max="6" width="12.5703125" style="7" customWidth="1"/>
    <col min="7" max="7" width="16" customWidth="1"/>
    <col min="8" max="8" width="15.5703125" customWidth="1"/>
  </cols>
  <sheetData>
    <row r="1" spans="1:8" ht="15" x14ac:dyDescent="0.2">
      <c r="A1" s="927" t="s">
        <v>482</v>
      </c>
      <c r="B1" s="927"/>
      <c r="C1" s="927"/>
      <c r="D1" s="927"/>
      <c r="E1" s="927"/>
      <c r="F1" s="927"/>
      <c r="G1" s="927"/>
      <c r="H1" s="927"/>
    </row>
    <row r="2" spans="1:8" ht="16.5" customHeight="1" x14ac:dyDescent="0.2">
      <c r="A2" s="928" t="s">
        <v>484</v>
      </c>
      <c r="B2" s="928"/>
      <c r="C2" s="928"/>
      <c r="D2" s="928"/>
      <c r="E2" s="928"/>
      <c r="F2" s="928"/>
      <c r="G2" s="928"/>
      <c r="H2" s="928"/>
    </row>
    <row r="3" spans="1:8" s="7" customFormat="1" ht="16.5" customHeight="1" x14ac:dyDescent="0.25">
      <c r="A3" s="228"/>
      <c r="B3" s="228"/>
      <c r="C3" s="228"/>
      <c r="D3" s="228"/>
      <c r="E3" s="228"/>
      <c r="F3" s="288"/>
      <c r="G3" s="873" t="s">
        <v>215</v>
      </c>
      <c r="H3" s="873"/>
    </row>
    <row r="4" spans="1:8" ht="15" customHeight="1" thickBot="1" x14ac:dyDescent="0.25">
      <c r="A4" s="929" t="s">
        <v>422</v>
      </c>
      <c r="B4" s="929"/>
      <c r="C4" s="931" t="s">
        <v>181</v>
      </c>
      <c r="D4" s="931"/>
      <c r="E4" s="141"/>
      <c r="F4" s="930"/>
      <c r="G4" s="930"/>
      <c r="H4" s="244" t="s">
        <v>335</v>
      </c>
    </row>
    <row r="5" spans="1:8" ht="15" customHeight="1" x14ac:dyDescent="0.2">
      <c r="A5" s="142"/>
      <c r="B5" s="143" t="s">
        <v>46</v>
      </c>
      <c r="C5" s="144"/>
      <c r="D5" s="143" t="s">
        <v>37</v>
      </c>
      <c r="E5" s="143"/>
      <c r="F5" s="932" t="s">
        <v>0</v>
      </c>
      <c r="G5" s="932"/>
      <c r="H5" s="142"/>
    </row>
    <row r="6" spans="1:8" s="7" customFormat="1" ht="28.5" customHeight="1" x14ac:dyDescent="0.2">
      <c r="A6" s="167"/>
      <c r="B6" s="168" t="s">
        <v>257</v>
      </c>
      <c r="C6" s="167"/>
      <c r="D6" s="186" t="s">
        <v>321</v>
      </c>
      <c r="E6" s="168"/>
      <c r="F6" s="933" t="s">
        <v>1</v>
      </c>
      <c r="G6" s="933"/>
      <c r="H6" s="167"/>
    </row>
    <row r="7" spans="1:8" ht="15" customHeight="1" x14ac:dyDescent="0.2">
      <c r="A7" s="145"/>
      <c r="B7" s="420" t="s">
        <v>27</v>
      </c>
      <c r="C7" s="421" t="s">
        <v>238</v>
      </c>
      <c r="D7" s="421" t="s">
        <v>27</v>
      </c>
      <c r="E7" s="421" t="s">
        <v>240</v>
      </c>
      <c r="F7" s="420" t="s">
        <v>27</v>
      </c>
      <c r="G7" s="421" t="s">
        <v>238</v>
      </c>
      <c r="H7" s="167"/>
    </row>
    <row r="8" spans="1:8" s="400" customFormat="1" ht="15" customHeight="1" thickBot="1" x14ac:dyDescent="0.25">
      <c r="A8" s="422" t="s">
        <v>50</v>
      </c>
      <c r="B8" s="423" t="s">
        <v>133</v>
      </c>
      <c r="C8" s="424" t="s">
        <v>29</v>
      </c>
      <c r="D8" s="424" t="s">
        <v>133</v>
      </c>
      <c r="E8" s="424" t="s">
        <v>29</v>
      </c>
      <c r="F8" s="425" t="s">
        <v>133</v>
      </c>
      <c r="G8" s="424" t="s">
        <v>29</v>
      </c>
      <c r="H8" s="426" t="s">
        <v>26</v>
      </c>
    </row>
    <row r="9" spans="1:8" s="313" customFormat="1" ht="15" customHeight="1" x14ac:dyDescent="0.2">
      <c r="A9" s="582" t="s">
        <v>380</v>
      </c>
      <c r="B9" s="583">
        <v>1123</v>
      </c>
      <c r="C9" s="583">
        <v>44</v>
      </c>
      <c r="D9" s="583">
        <v>1222</v>
      </c>
      <c r="E9" s="583">
        <v>182435</v>
      </c>
      <c r="F9" s="583">
        <f>ت.كهربائيه1!B11+ت.كهربائيه1!D11+ت.كهربائيه1!F11+ت.كهربائيه2!B9+ت.كهربائيه2!D9</f>
        <v>72973</v>
      </c>
      <c r="G9" s="583">
        <f>ت.كهربائيه1!C11+ت.كهربائيه1!E11+ت.كهربائيه1!G11+ت.كهربائيه1!I11+ت.كهربائيه2!C9+ت.كهربائيه2!E9</f>
        <v>658742</v>
      </c>
      <c r="H9" s="587" t="s">
        <v>381</v>
      </c>
    </row>
    <row r="10" spans="1:8" s="313" customFormat="1" ht="15" customHeight="1" x14ac:dyDescent="0.2">
      <c r="A10" s="717" t="s">
        <v>30</v>
      </c>
      <c r="B10" s="718">
        <v>4104</v>
      </c>
      <c r="C10" s="718">
        <f>B10*4</f>
        <v>16416</v>
      </c>
      <c r="D10" s="718">
        <v>0</v>
      </c>
      <c r="E10" s="718">
        <v>0</v>
      </c>
      <c r="F10" s="718">
        <f>ت.كهربائيه1!B12+ت.كهربائيه1!D12+ت.كهربائيه1!F12+ت.كهربائيه2!B10+ت.كهربائيه2!D10</f>
        <v>326827</v>
      </c>
      <c r="G10" s="718">
        <f>ت.كهربائيه1!C12+ت.كهربائيه1!E12+ت.كهربائيه1!G12+ت.كهربائيه1!I12+ت.كهربائيه2!C10+ت.كهربائيه2!E10</f>
        <v>1906287</v>
      </c>
      <c r="H10" s="724" t="s">
        <v>31</v>
      </c>
    </row>
    <row r="11" spans="1:8" s="313" customFormat="1" ht="15" customHeight="1" x14ac:dyDescent="0.2">
      <c r="A11" s="585" t="s">
        <v>3</v>
      </c>
      <c r="B11" s="583">
        <v>1109</v>
      </c>
      <c r="C11" s="583">
        <v>414</v>
      </c>
      <c r="D11" s="583">
        <v>0</v>
      </c>
      <c r="E11" s="583">
        <v>0</v>
      </c>
      <c r="F11" s="583">
        <f>ت.كهربائيه1!B13+ت.كهربائيه1!D13+ت.كهربائيه1!F13+ت.كهربائيه2!B11+ت.كهربائيه2!D11</f>
        <v>240961</v>
      </c>
      <c r="G11" s="583">
        <f>ت.كهربائيه1!C13+ت.كهربائيه1!E13+ت.كهربائيه1!G13+ت.كهربائيه1!I13+ت.كهربائيه2!C11+ت.كهربائيه2!E11</f>
        <v>1335236</v>
      </c>
      <c r="H11" s="587" t="s">
        <v>15</v>
      </c>
    </row>
    <row r="12" spans="1:8" s="313" customFormat="1" ht="15" customHeight="1" x14ac:dyDescent="0.2">
      <c r="A12" s="717" t="s">
        <v>365</v>
      </c>
      <c r="B12" s="718">
        <v>2253</v>
      </c>
      <c r="C12" s="718">
        <f>B12*4</f>
        <v>9012</v>
      </c>
      <c r="D12" s="718">
        <v>0</v>
      </c>
      <c r="E12" s="718">
        <v>0</v>
      </c>
      <c r="F12" s="718">
        <f>ت.كهربائيه1!B14+ت.كهربائيه1!D14+ت.كهربائيه1!F14+ت.كهربائيه2!B12+ت.كهربائيه2!D12</f>
        <v>144644</v>
      </c>
      <c r="G12" s="718">
        <f>ت.كهربائيه1!C14+ت.كهربائيه1!E14+ت.كهربائيه1!G14+ت.كهربائيه1!I14+ت.كهربائيه2!C12+ت.كهربائيه2!E12</f>
        <v>737491</v>
      </c>
      <c r="H12" s="724" t="s">
        <v>359</v>
      </c>
    </row>
    <row r="13" spans="1:8" s="313" customFormat="1" ht="15" customHeight="1" x14ac:dyDescent="0.2">
      <c r="A13" s="585" t="s">
        <v>4</v>
      </c>
      <c r="B13" s="583">
        <v>31786</v>
      </c>
      <c r="C13" s="583">
        <v>198</v>
      </c>
      <c r="D13" s="583">
        <v>2522</v>
      </c>
      <c r="E13" s="583">
        <v>362877</v>
      </c>
      <c r="F13" s="583">
        <f>ت.كهربائيه1!B15+ت.كهربائيه1!D15+ت.كهربائيه1!F15+ت.كهربائيه2!B13+ت.كهربائيه2!D13</f>
        <v>1938042</v>
      </c>
      <c r="G13" s="583">
        <f>ت.كهربائيه1!C15+ت.كهربائيه1!E15+ت.كهربائيه1!G15+ت.كهربائيه1!I15+ت.كهربائيه2!C13+ت.كهربائيه2!E13</f>
        <v>10978856</v>
      </c>
      <c r="H13" s="587" t="s">
        <v>16</v>
      </c>
    </row>
    <row r="14" spans="1:8" s="313" customFormat="1" ht="15" customHeight="1" x14ac:dyDescent="0.2">
      <c r="A14" s="720" t="s">
        <v>5</v>
      </c>
      <c r="B14" s="718">
        <v>3676</v>
      </c>
      <c r="C14" s="718">
        <f>B14*3</f>
        <v>11028</v>
      </c>
      <c r="D14" s="718">
        <v>0</v>
      </c>
      <c r="E14" s="718">
        <v>0</v>
      </c>
      <c r="F14" s="718">
        <f>ت.كهربائيه1!B16+ت.كهربائيه1!D16+ت.كهربائيه1!F16+ت.كهربائيه2!B14+ت.كهربائيه2!D14</f>
        <v>314941</v>
      </c>
      <c r="G14" s="718">
        <f>ت.كهربائيه1!C16+ت.كهربائيه1!E16+ت.كهربائيه1!G16+ت.كهربائيه1!I16+ت.كهربائيه2!C14+ت.كهربائيه2!E14</f>
        <v>2247625</v>
      </c>
      <c r="H14" s="724" t="s">
        <v>23</v>
      </c>
    </row>
    <row r="15" spans="1:8" s="313" customFormat="1" ht="15" customHeight="1" x14ac:dyDescent="0.2">
      <c r="A15" s="585" t="s">
        <v>6</v>
      </c>
      <c r="B15" s="583">
        <v>4009</v>
      </c>
      <c r="C15" s="583">
        <f>B15*3</f>
        <v>12027</v>
      </c>
      <c r="D15" s="583">
        <v>41</v>
      </c>
      <c r="E15" s="583">
        <v>6210</v>
      </c>
      <c r="F15" s="583">
        <f>ت.كهربائيه1!B17+ت.كهربائيه1!D17+ت.كهربائيه1!F17+ت.كهربائيه2!B15+ت.كهربائيه2!D15</f>
        <v>159696</v>
      </c>
      <c r="G15" s="583">
        <f>ت.كهربائيه1!C17+ت.كهربائيه1!E17+ت.كهربائيه1!G17+ت.كهربائيه1!I17+ت.كهربائيه2!C15+ت.كهربائيه2!E15</f>
        <v>993199</v>
      </c>
      <c r="H15" s="587" t="s">
        <v>24</v>
      </c>
    </row>
    <row r="16" spans="1:8" s="313" customFormat="1" ht="15" customHeight="1" x14ac:dyDescent="0.2">
      <c r="A16" s="720" t="s">
        <v>11</v>
      </c>
      <c r="B16" s="718">
        <v>1849</v>
      </c>
      <c r="C16" s="718">
        <f>B16*3</f>
        <v>5547</v>
      </c>
      <c r="D16" s="718">
        <v>0</v>
      </c>
      <c r="E16" s="718">
        <v>0</v>
      </c>
      <c r="F16" s="718">
        <f>ت.كهربائيه1!B18+ت.كهربائيه1!D18+ت.كهربائيه1!F18+ت.كهربائيه2!B16+ت.كهربائيه2!D16</f>
        <v>136737</v>
      </c>
      <c r="G16" s="718">
        <f>ت.كهربائيه1!C18+ت.كهربائيه1!E18+ت.كهربائيه1!G18+ت.كهربائيه1!I18+ت.كهربائيه2!C16+ت.كهربائيه2!E16</f>
        <v>823493</v>
      </c>
      <c r="H16" s="724" t="s">
        <v>21</v>
      </c>
    </row>
    <row r="17" spans="1:11" s="313" customFormat="1" ht="15.75" customHeight="1" x14ac:dyDescent="0.2">
      <c r="A17" s="585" t="s">
        <v>2</v>
      </c>
      <c r="B17" s="583">
        <v>1579</v>
      </c>
      <c r="C17" s="583">
        <f>B17*4</f>
        <v>6316</v>
      </c>
      <c r="D17" s="583">
        <v>0</v>
      </c>
      <c r="E17" s="583">
        <v>0</v>
      </c>
      <c r="F17" s="583">
        <f>ت.كهربائيه1!B19+ت.كهربائيه1!D19+ت.كهربائيه1!F19+ت.كهربائيه2!B17+ت.كهربائيه2!D17</f>
        <v>209412</v>
      </c>
      <c r="G17" s="583">
        <f>ت.كهربائيه1!C19+ت.كهربائيه1!E19+ت.كهربائيه1!G19+ت.كهربائيه1!I19+ت.كهربائيه2!C17+ت.كهربائيه2!E17</f>
        <v>1209202</v>
      </c>
      <c r="H17" s="587" t="s">
        <v>14</v>
      </c>
    </row>
    <row r="18" spans="1:11" s="313" customFormat="1" ht="15" customHeight="1" x14ac:dyDescent="0.2">
      <c r="A18" s="720" t="s">
        <v>7</v>
      </c>
      <c r="B18" s="718">
        <v>5069</v>
      </c>
      <c r="C18" s="718">
        <v>214</v>
      </c>
      <c r="D18" s="718">
        <v>9010</v>
      </c>
      <c r="E18" s="718">
        <v>1321660</v>
      </c>
      <c r="F18" s="718">
        <f>ت.كهربائيه1!B20+ت.كهربائيه1!D20+ت.كهربائيه1!F20+ت.كهربائيه2!B18+ت.كهربائيه2!D18</f>
        <v>439915</v>
      </c>
      <c r="G18" s="718">
        <f>ت.كهربائيه1!C20+ت.كهربائيه1!E20+ت.كهربائيه1!G20+ت.كهربائيه1!I20+ت.كهربائيه2!C18+ت.كهربائيه2!E18</f>
        <v>4182044</v>
      </c>
      <c r="H18" s="724" t="s">
        <v>17</v>
      </c>
    </row>
    <row r="19" spans="1:11" s="313" customFormat="1" ht="15" customHeight="1" x14ac:dyDescent="0.2">
      <c r="A19" s="585" t="s">
        <v>8</v>
      </c>
      <c r="B19" s="583">
        <v>3660</v>
      </c>
      <c r="C19" s="583">
        <f>B19*4</f>
        <v>14640</v>
      </c>
      <c r="D19" s="583">
        <v>0</v>
      </c>
      <c r="E19" s="583">
        <v>0</v>
      </c>
      <c r="F19" s="583">
        <f>ت.كهربائيه1!B21+ت.كهربائيه1!D21+ت.كهربائيه1!F21+ت.كهربائيه2!B19+ت.كهربائيه2!D19</f>
        <v>247321</v>
      </c>
      <c r="G19" s="583">
        <f>ت.كهربائيه1!C21+ت.كهربائيه1!E21+ت.كهربائيه1!G21+ت.كهربائيه1!I21+ت.كهربائيه2!C19+ت.كهربائيه2!E19</f>
        <v>1319952</v>
      </c>
      <c r="H19" s="587" t="s">
        <v>18</v>
      </c>
    </row>
    <row r="20" spans="1:11" s="313" customFormat="1" ht="15" customHeight="1" x14ac:dyDescent="0.2">
      <c r="A20" s="720" t="s">
        <v>9</v>
      </c>
      <c r="B20" s="718">
        <v>3726</v>
      </c>
      <c r="C20" s="718">
        <f>B20*4</f>
        <v>14904</v>
      </c>
      <c r="D20" s="718">
        <v>0</v>
      </c>
      <c r="E20" s="718">
        <v>0</v>
      </c>
      <c r="F20" s="718">
        <f>ت.كهربائيه1!B22+ت.كهربائيه1!D22+ت.كهربائيه1!F22+ت.كهربائيه2!B20+ت.كهربائيه2!D20</f>
        <v>191663</v>
      </c>
      <c r="G20" s="718">
        <f>ت.كهربائيه1!C22+ت.كهربائيه1!E22+ت.كهربائيه1!G22+ت.كهربائيه1!I22+ت.كهربائيه2!C20+ت.كهربائيه2!E20</f>
        <v>579072</v>
      </c>
      <c r="H20" s="724" t="s">
        <v>19</v>
      </c>
    </row>
    <row r="21" spans="1:11" s="313" customFormat="1" ht="15" customHeight="1" x14ac:dyDescent="0.2">
      <c r="A21" s="585" t="s">
        <v>10</v>
      </c>
      <c r="B21" s="583">
        <v>4450</v>
      </c>
      <c r="C21" s="583">
        <f>B21*3</f>
        <v>13350</v>
      </c>
      <c r="D21" s="583">
        <v>0</v>
      </c>
      <c r="E21" s="583">
        <v>0</v>
      </c>
      <c r="F21" s="583">
        <f>ت.كهربائيه1!B23+ت.كهربائيه1!D23+ت.كهربائيه1!F23+ت.كهربائيه2!B21+ت.كهربائيه2!D21</f>
        <v>354142</v>
      </c>
      <c r="G21" s="583">
        <f>ت.كهربائيه1!C23+ت.كهربائيه1!E23+ت.كهربائيه1!G23+ت.كهربائيه1!I23+ت.كهربائيه2!C21+ت.كهربائيه2!E21</f>
        <v>1000458</v>
      </c>
      <c r="H21" s="587" t="s">
        <v>20</v>
      </c>
    </row>
    <row r="22" spans="1:11" s="313" customFormat="1" ht="15" customHeight="1" x14ac:dyDescent="0.2">
      <c r="A22" s="720" t="s">
        <v>12</v>
      </c>
      <c r="B22" s="718">
        <v>596</v>
      </c>
      <c r="C22" s="718">
        <f>B22*3</f>
        <v>1788</v>
      </c>
      <c r="D22" s="718">
        <v>0</v>
      </c>
      <c r="E22" s="718">
        <v>0</v>
      </c>
      <c r="F22" s="718">
        <f>ت.كهربائيه1!B24+ت.كهربائيه1!D24+ت.كهربائيه1!F24+ت.كهربائيه2!B22+ت.كهربائيه2!D22</f>
        <v>52933</v>
      </c>
      <c r="G22" s="718">
        <f>ت.كهربائيه1!C24+ت.كهربائيه1!E24+ت.كهربائيه1!G24+ت.كهربائيه1!I24+ت.كهربائيه2!C22+ت.كهربائيه2!E22</f>
        <v>330518</v>
      </c>
      <c r="H22" s="724" t="s">
        <v>25</v>
      </c>
    </row>
    <row r="23" spans="1:11" s="313" customFormat="1" ht="15" customHeight="1" thickBot="1" x14ac:dyDescent="0.25">
      <c r="A23" s="585" t="s">
        <v>13</v>
      </c>
      <c r="B23" s="583">
        <v>1182</v>
      </c>
      <c r="C23" s="583">
        <f>B23*2</f>
        <v>2364</v>
      </c>
      <c r="D23" s="583">
        <v>0</v>
      </c>
      <c r="E23" s="583">
        <v>0</v>
      </c>
      <c r="F23" s="583">
        <f>ت.كهربائيه1!B25+ت.كهربائيه1!D25+ت.كهربائيه1!F25+ت.كهربائيه2!B23+ت.كهربائيه2!D23</f>
        <v>312440</v>
      </c>
      <c r="G23" s="583">
        <f>ت.كهربائيه1!C25+ت.كهربائيه1!E25+ت.كهربائيه1!G25+ت.كهربائيه1!I25+ت.كهربائيه2!C23+ت.كهربائيه2!E23</f>
        <v>2915149</v>
      </c>
      <c r="H23" s="587" t="s">
        <v>22</v>
      </c>
    </row>
    <row r="24" spans="1:11" s="537" customFormat="1" ht="16.5" customHeight="1" thickBot="1" x14ac:dyDescent="0.25">
      <c r="A24" s="588" t="s">
        <v>0</v>
      </c>
      <c r="B24" s="589">
        <f t="shared" ref="B24:G24" si="0">SUM(B9:B23)</f>
        <v>70171</v>
      </c>
      <c r="C24" s="589">
        <f t="shared" si="0"/>
        <v>108262</v>
      </c>
      <c r="D24" s="589">
        <f t="shared" si="0"/>
        <v>12795</v>
      </c>
      <c r="E24" s="589">
        <f t="shared" si="0"/>
        <v>1873182</v>
      </c>
      <c r="F24" s="589">
        <f t="shared" si="0"/>
        <v>5142647</v>
      </c>
      <c r="G24" s="589">
        <f t="shared" si="0"/>
        <v>31217324</v>
      </c>
      <c r="H24" s="590" t="s">
        <v>1</v>
      </c>
    </row>
    <row r="25" spans="1:11" s="161" customFormat="1" ht="16.5" customHeight="1" x14ac:dyDescent="0.2">
      <c r="A25" s="889"/>
      <c r="B25" s="889"/>
      <c r="C25" s="889"/>
      <c r="D25" s="889"/>
      <c r="E25" s="889"/>
      <c r="F25" s="889"/>
      <c r="G25" s="889"/>
      <c r="H25" s="889"/>
    </row>
    <row r="26" spans="1:11" ht="14.25" x14ac:dyDescent="0.2">
      <c r="C26" s="7"/>
      <c r="D26" s="7"/>
      <c r="E26" s="7"/>
      <c r="G26" s="184"/>
      <c r="H26" s="197"/>
      <c r="I26" s="7"/>
      <c r="J26" s="7"/>
      <c r="K26" s="7"/>
    </row>
    <row r="27" spans="1:11" ht="15" x14ac:dyDescent="0.25">
      <c r="A27" s="908"/>
      <c r="B27" s="908"/>
      <c r="C27" s="7"/>
      <c r="D27" s="7"/>
      <c r="E27" s="7"/>
      <c r="G27" s="7"/>
      <c r="H27" s="57"/>
      <c r="I27" s="7"/>
      <c r="J27" s="7"/>
      <c r="K27" s="77"/>
    </row>
  </sheetData>
  <mergeCells count="10">
    <mergeCell ref="G3:H3"/>
    <mergeCell ref="A27:B27"/>
    <mergeCell ref="A1:H1"/>
    <mergeCell ref="A2:H2"/>
    <mergeCell ref="A4:B4"/>
    <mergeCell ref="F4:G4"/>
    <mergeCell ref="C4:D4"/>
    <mergeCell ref="A25:H25"/>
    <mergeCell ref="F5:G5"/>
    <mergeCell ref="F6:G6"/>
  </mergeCells>
  <phoneticPr fontId="3" type="noConversion"/>
  <printOptions horizontalCentered="1" verticalCentered="1"/>
  <pageMargins left="0.23622047244094491" right="0.86" top="3.937007874015748E-2" bottom="0.74803149606299213" header="0.31496062992125984" footer="0.31496062992125984"/>
  <pageSetup orientation="landscape" verticalDpi="300" r:id="rId1"/>
  <headerFooter alignWithMargins="0">
    <oddFooter>&amp;C42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27"/>
  <sheetViews>
    <sheetView rightToLeft="1" zoomScaleSheetLayoutView="93" workbookViewId="0">
      <selection activeCell="C35" sqref="C35"/>
    </sheetView>
  </sheetViews>
  <sheetFormatPr defaultRowHeight="12.75" x14ac:dyDescent="0.2"/>
  <cols>
    <col min="1" max="1" width="9.42578125" customWidth="1"/>
    <col min="2" max="2" width="8.28515625" customWidth="1"/>
    <col min="3" max="3" width="10.85546875" customWidth="1"/>
    <col min="4" max="4" width="7.42578125" customWidth="1"/>
    <col min="5" max="5" width="11.5703125" customWidth="1"/>
    <col min="6" max="6" width="7.5703125" customWidth="1"/>
    <col min="7" max="7" width="10.7109375" customWidth="1"/>
    <col min="8" max="8" width="7.42578125" customWidth="1"/>
    <col min="9" max="9" width="13.140625" customWidth="1"/>
    <col min="10" max="10" width="10.28515625" customWidth="1"/>
    <col min="11" max="11" width="12.42578125" customWidth="1"/>
    <col min="12" max="12" width="14" customWidth="1"/>
    <col min="13" max="13" width="0.28515625" hidden="1" customWidth="1"/>
    <col min="14" max="14" width="0" hidden="1" customWidth="1"/>
    <col min="15" max="15" width="0.28515625" hidden="1" customWidth="1"/>
    <col min="16" max="16" width="0.140625" hidden="1" customWidth="1"/>
    <col min="17" max="17" width="0" hidden="1" customWidth="1"/>
    <col min="18" max="18" width="0.5703125" hidden="1" customWidth="1"/>
  </cols>
  <sheetData>
    <row r="1" spans="1:21" ht="15" x14ac:dyDescent="0.2">
      <c r="A1" s="937" t="s">
        <v>482</v>
      </c>
      <c r="B1" s="937"/>
      <c r="C1" s="937"/>
      <c r="D1" s="937"/>
      <c r="E1" s="937"/>
      <c r="F1" s="937"/>
      <c r="G1" s="937"/>
      <c r="H1" s="937"/>
      <c r="I1" s="937"/>
      <c r="J1" s="937"/>
      <c r="K1" s="937"/>
      <c r="L1" s="937"/>
    </row>
    <row r="2" spans="1:21" ht="15" x14ac:dyDescent="0.2">
      <c r="A2" s="938" t="s">
        <v>471</v>
      </c>
      <c r="B2" s="938"/>
      <c r="C2" s="938"/>
      <c r="D2" s="938"/>
      <c r="E2" s="938"/>
      <c r="F2" s="938"/>
      <c r="G2" s="938"/>
      <c r="H2" s="938"/>
      <c r="I2" s="938"/>
      <c r="J2" s="938"/>
      <c r="K2" s="938"/>
      <c r="L2" s="938"/>
    </row>
    <row r="3" spans="1:21" s="7" customFormat="1" ht="15.75" thickBot="1" x14ac:dyDescent="0.3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873" t="s">
        <v>215</v>
      </c>
      <c r="L3" s="873"/>
    </row>
    <row r="4" spans="1:21" s="4" customFormat="1" ht="18" customHeight="1" thickBot="1" x14ac:dyDescent="0.3">
      <c r="A4" s="939" t="s">
        <v>417</v>
      </c>
      <c r="B4" s="939"/>
      <c r="C4" s="939" t="s">
        <v>175</v>
      </c>
      <c r="D4" s="939"/>
      <c r="E4" s="939"/>
      <c r="F4" s="25"/>
      <c r="G4" s="25"/>
      <c r="H4" s="925" t="s">
        <v>344</v>
      </c>
      <c r="I4" s="925"/>
      <c r="J4" s="925"/>
      <c r="K4" s="925"/>
      <c r="L4" s="147" t="s">
        <v>335</v>
      </c>
      <c r="M4"/>
      <c r="N4"/>
      <c r="O4"/>
      <c r="P4"/>
      <c r="Q4"/>
      <c r="R4"/>
      <c r="S4"/>
      <c r="T4"/>
      <c r="U4"/>
    </row>
    <row r="5" spans="1:21" s="3" customFormat="1" ht="15" customHeight="1" x14ac:dyDescent="0.25">
      <c r="A5" s="76"/>
      <c r="B5" s="936" t="s">
        <v>246</v>
      </c>
      <c r="C5" s="936"/>
      <c r="D5" s="936" t="s">
        <v>245</v>
      </c>
      <c r="E5" s="936"/>
      <c r="F5" s="936" t="s">
        <v>243</v>
      </c>
      <c r="G5" s="936"/>
      <c r="H5" s="151" t="s">
        <v>55</v>
      </c>
      <c r="I5" s="150"/>
      <c r="J5" s="149" t="s">
        <v>47</v>
      </c>
      <c r="K5" s="149"/>
      <c r="L5" s="76"/>
      <c r="M5"/>
      <c r="N5"/>
      <c r="O5"/>
      <c r="P5"/>
      <c r="Q5"/>
      <c r="R5"/>
      <c r="S5"/>
      <c r="T5"/>
      <c r="U5"/>
    </row>
    <row r="6" spans="1:21" s="3" customFormat="1" ht="15" customHeight="1" x14ac:dyDescent="0.25">
      <c r="A6" s="42"/>
      <c r="B6" s="934" t="s">
        <v>300</v>
      </c>
      <c r="C6" s="934"/>
      <c r="D6" s="935" t="s">
        <v>263</v>
      </c>
      <c r="E6" s="935"/>
      <c r="F6" s="934" t="s">
        <v>244</v>
      </c>
      <c r="G6" s="934"/>
      <c r="H6" s="69" t="s">
        <v>301</v>
      </c>
      <c r="I6" s="69"/>
      <c r="J6" s="148" t="s">
        <v>302</v>
      </c>
      <c r="K6" s="146"/>
      <c r="L6" s="42"/>
      <c r="M6"/>
      <c r="N6"/>
      <c r="O6"/>
      <c r="P6"/>
      <c r="Q6"/>
      <c r="R6"/>
      <c r="S6"/>
      <c r="T6"/>
      <c r="U6"/>
    </row>
    <row r="7" spans="1:21" s="435" customFormat="1" ht="15" customHeight="1" thickBot="1" x14ac:dyDescent="0.25">
      <c r="A7" s="431"/>
      <c r="B7" s="431" t="s">
        <v>27</v>
      </c>
      <c r="C7" s="431" t="s">
        <v>238</v>
      </c>
      <c r="D7" s="431" t="s">
        <v>27</v>
      </c>
      <c r="E7" s="432" t="s">
        <v>238</v>
      </c>
      <c r="F7" s="431" t="s">
        <v>27</v>
      </c>
      <c r="G7" s="431" t="s">
        <v>238</v>
      </c>
      <c r="H7" s="433" t="s">
        <v>27</v>
      </c>
      <c r="I7" s="433" t="s">
        <v>238</v>
      </c>
      <c r="J7" s="431" t="s">
        <v>27</v>
      </c>
      <c r="K7" s="431" t="s">
        <v>238</v>
      </c>
      <c r="L7" s="434"/>
      <c r="M7" s="161"/>
      <c r="N7" s="161"/>
      <c r="O7" s="161"/>
      <c r="P7" s="161"/>
      <c r="Q7" s="161"/>
      <c r="R7" s="161"/>
      <c r="S7" s="161"/>
      <c r="T7" s="161"/>
      <c r="U7" s="161"/>
    </row>
    <row r="8" spans="1:21" s="161" customFormat="1" ht="15" customHeight="1" thickTop="1" thickBot="1" x14ac:dyDescent="0.25">
      <c r="A8" s="427" t="s">
        <v>50</v>
      </c>
      <c r="B8" s="428" t="s">
        <v>133</v>
      </c>
      <c r="C8" s="428" t="s">
        <v>29</v>
      </c>
      <c r="D8" s="428" t="s">
        <v>133</v>
      </c>
      <c r="E8" s="428" t="s">
        <v>29</v>
      </c>
      <c r="F8" s="428" t="s">
        <v>133</v>
      </c>
      <c r="G8" s="428" t="s">
        <v>29</v>
      </c>
      <c r="H8" s="429" t="s">
        <v>133</v>
      </c>
      <c r="I8" s="429" t="s">
        <v>29</v>
      </c>
      <c r="J8" s="427" t="s">
        <v>133</v>
      </c>
      <c r="K8" s="427" t="s">
        <v>29</v>
      </c>
      <c r="L8" s="430" t="s">
        <v>26</v>
      </c>
    </row>
    <row r="9" spans="1:21" s="313" customFormat="1" ht="15" customHeight="1" thickTop="1" x14ac:dyDescent="0.25">
      <c r="A9" s="591" t="s">
        <v>380</v>
      </c>
      <c r="B9" s="592">
        <v>254</v>
      </c>
      <c r="C9" s="592">
        <v>5387</v>
      </c>
      <c r="D9" s="592">
        <v>108</v>
      </c>
      <c r="E9" s="592">
        <v>12014</v>
      </c>
      <c r="F9" s="592">
        <v>245</v>
      </c>
      <c r="G9" s="592">
        <v>44</v>
      </c>
      <c r="H9" s="593">
        <v>86</v>
      </c>
      <c r="I9" s="593">
        <f>H9*13</f>
        <v>1118</v>
      </c>
      <c r="J9" s="592">
        <v>181</v>
      </c>
      <c r="K9" s="592">
        <v>204</v>
      </c>
      <c r="L9" s="594" t="s">
        <v>381</v>
      </c>
      <c r="M9" s="595"/>
    </row>
    <row r="10" spans="1:21" s="313" customFormat="1" ht="15" customHeight="1" x14ac:dyDescent="0.25">
      <c r="A10" s="717" t="s">
        <v>30</v>
      </c>
      <c r="B10" s="722">
        <v>799</v>
      </c>
      <c r="C10" s="722">
        <v>496</v>
      </c>
      <c r="D10" s="722">
        <v>395</v>
      </c>
      <c r="E10" s="722">
        <v>101219</v>
      </c>
      <c r="F10" s="722">
        <v>737</v>
      </c>
      <c r="G10" s="722">
        <f>F10*25</f>
        <v>18425</v>
      </c>
      <c r="H10" s="723">
        <v>194</v>
      </c>
      <c r="I10" s="723">
        <f>H10*13</f>
        <v>2522</v>
      </c>
      <c r="J10" s="722">
        <v>466</v>
      </c>
      <c r="K10" s="722">
        <f>J10*24</f>
        <v>11184</v>
      </c>
      <c r="L10" s="724" t="s">
        <v>31</v>
      </c>
      <c r="M10" s="595"/>
    </row>
    <row r="11" spans="1:21" s="313" customFormat="1" ht="15" customHeight="1" x14ac:dyDescent="0.25">
      <c r="A11" s="585" t="s">
        <v>3</v>
      </c>
      <c r="B11" s="596">
        <v>1178</v>
      </c>
      <c r="C11" s="596">
        <v>1520</v>
      </c>
      <c r="D11" s="596">
        <v>360</v>
      </c>
      <c r="E11" s="596">
        <v>102640</v>
      </c>
      <c r="F11" s="596">
        <v>965</v>
      </c>
      <c r="G11" s="596">
        <f>F11*26</f>
        <v>25090</v>
      </c>
      <c r="H11" s="597">
        <v>1</v>
      </c>
      <c r="I11" s="597">
        <f>H11*8</f>
        <v>8</v>
      </c>
      <c r="J11" s="596">
        <v>771</v>
      </c>
      <c r="K11" s="596">
        <v>528</v>
      </c>
      <c r="L11" s="587" t="s">
        <v>15</v>
      </c>
      <c r="M11" s="595"/>
    </row>
    <row r="12" spans="1:21" s="313" customFormat="1" ht="15" customHeight="1" x14ac:dyDescent="0.25">
      <c r="A12" s="717" t="s">
        <v>365</v>
      </c>
      <c r="B12" s="722">
        <v>515</v>
      </c>
      <c r="C12" s="722">
        <v>63897</v>
      </c>
      <c r="D12" s="722">
        <v>235</v>
      </c>
      <c r="E12" s="722">
        <v>61439</v>
      </c>
      <c r="F12" s="722">
        <v>458</v>
      </c>
      <c r="G12" s="722">
        <v>265</v>
      </c>
      <c r="H12" s="723">
        <v>0</v>
      </c>
      <c r="I12" s="723">
        <v>0</v>
      </c>
      <c r="J12" s="722">
        <v>256</v>
      </c>
      <c r="K12" s="722">
        <f>J12*13</f>
        <v>3328</v>
      </c>
      <c r="L12" s="724" t="s">
        <v>359</v>
      </c>
      <c r="M12" s="595"/>
    </row>
    <row r="13" spans="1:21" s="313" customFormat="1" ht="15" customHeight="1" x14ac:dyDescent="0.25">
      <c r="A13" s="585" t="s">
        <v>4</v>
      </c>
      <c r="B13" s="596">
        <v>6117</v>
      </c>
      <c r="C13" s="596">
        <v>59717</v>
      </c>
      <c r="D13" s="596">
        <v>3496</v>
      </c>
      <c r="E13" s="596">
        <v>950716</v>
      </c>
      <c r="F13" s="596">
        <v>5989</v>
      </c>
      <c r="G13" s="596">
        <v>4213</v>
      </c>
      <c r="H13" s="597">
        <v>9162</v>
      </c>
      <c r="I13" s="597">
        <v>4839</v>
      </c>
      <c r="J13" s="596">
        <v>6104</v>
      </c>
      <c r="K13" s="596">
        <v>65</v>
      </c>
      <c r="L13" s="587" t="s">
        <v>16</v>
      </c>
      <c r="M13" s="595"/>
    </row>
    <row r="14" spans="1:21" s="313" customFormat="1" ht="15" customHeight="1" x14ac:dyDescent="0.25">
      <c r="A14" s="720" t="s">
        <v>5</v>
      </c>
      <c r="B14" s="722">
        <v>1660</v>
      </c>
      <c r="C14" s="722">
        <v>63205</v>
      </c>
      <c r="D14" s="722">
        <v>267</v>
      </c>
      <c r="E14" s="722">
        <v>53315</v>
      </c>
      <c r="F14" s="722">
        <v>872</v>
      </c>
      <c r="G14" s="722">
        <v>1484</v>
      </c>
      <c r="H14" s="723">
        <v>600</v>
      </c>
      <c r="I14" s="723">
        <f>H14*16</f>
        <v>9600</v>
      </c>
      <c r="J14" s="722">
        <v>571</v>
      </c>
      <c r="K14" s="722">
        <f>J14*19</f>
        <v>10849</v>
      </c>
      <c r="L14" s="724" t="s">
        <v>23</v>
      </c>
      <c r="M14" s="595"/>
    </row>
    <row r="15" spans="1:21" s="313" customFormat="1" ht="17.25" customHeight="1" x14ac:dyDescent="0.25">
      <c r="A15" s="585" t="s">
        <v>6</v>
      </c>
      <c r="B15" s="596">
        <v>1079</v>
      </c>
      <c r="C15" s="596">
        <v>117329</v>
      </c>
      <c r="D15" s="596">
        <v>99</v>
      </c>
      <c r="E15" s="596">
        <f>D15*170</f>
        <v>16830</v>
      </c>
      <c r="F15" s="596">
        <v>958</v>
      </c>
      <c r="G15" s="596">
        <v>113</v>
      </c>
      <c r="H15" s="597">
        <v>99</v>
      </c>
      <c r="I15" s="597">
        <f>H15*5</f>
        <v>495</v>
      </c>
      <c r="J15" s="596">
        <v>741</v>
      </c>
      <c r="K15" s="596">
        <f>J15*24</f>
        <v>17784</v>
      </c>
      <c r="L15" s="587" t="s">
        <v>24</v>
      </c>
      <c r="M15" s="595"/>
    </row>
    <row r="16" spans="1:21" s="313" customFormat="1" ht="18.75" customHeight="1" x14ac:dyDescent="0.25">
      <c r="A16" s="720" t="s">
        <v>11</v>
      </c>
      <c r="B16" s="722">
        <v>618</v>
      </c>
      <c r="C16" s="722">
        <f>B16*34</f>
        <v>21012</v>
      </c>
      <c r="D16" s="722">
        <v>15</v>
      </c>
      <c r="E16" s="722">
        <v>2084</v>
      </c>
      <c r="F16" s="722">
        <v>594</v>
      </c>
      <c r="G16" s="722">
        <f>F16*17</f>
        <v>10098</v>
      </c>
      <c r="H16" s="723">
        <v>114</v>
      </c>
      <c r="I16" s="723">
        <f>H16*5</f>
        <v>570</v>
      </c>
      <c r="J16" s="722">
        <v>330</v>
      </c>
      <c r="K16" s="722">
        <f>J16*15</f>
        <v>4950</v>
      </c>
      <c r="L16" s="724" t="s">
        <v>21</v>
      </c>
      <c r="M16" s="595"/>
    </row>
    <row r="17" spans="1:13" s="313" customFormat="1" ht="15" customHeight="1" x14ac:dyDescent="0.25">
      <c r="A17" s="585" t="s">
        <v>2</v>
      </c>
      <c r="B17" s="596">
        <v>517</v>
      </c>
      <c r="C17" s="596">
        <v>4804</v>
      </c>
      <c r="D17" s="596">
        <v>6</v>
      </c>
      <c r="E17" s="596">
        <v>1624</v>
      </c>
      <c r="F17" s="596">
        <v>465</v>
      </c>
      <c r="G17" s="596">
        <v>459</v>
      </c>
      <c r="H17" s="597">
        <v>0</v>
      </c>
      <c r="I17" s="597">
        <f>H17*5</f>
        <v>0</v>
      </c>
      <c r="J17" s="596">
        <v>291</v>
      </c>
      <c r="K17" s="596">
        <f>J17*34</f>
        <v>9894</v>
      </c>
      <c r="L17" s="598" t="s">
        <v>14</v>
      </c>
      <c r="M17" s="595"/>
    </row>
    <row r="18" spans="1:13" s="313" customFormat="1" ht="15" customHeight="1" x14ac:dyDescent="0.25">
      <c r="A18" s="720" t="s">
        <v>7</v>
      </c>
      <c r="B18" s="722">
        <v>1502</v>
      </c>
      <c r="C18" s="722">
        <f>B18*26</f>
        <v>39052</v>
      </c>
      <c r="D18" s="722">
        <v>748</v>
      </c>
      <c r="E18" s="722">
        <f>D18*120</f>
        <v>89760</v>
      </c>
      <c r="F18" s="722">
        <v>1355</v>
      </c>
      <c r="G18" s="722">
        <f>F18*20</f>
        <v>27100</v>
      </c>
      <c r="H18" s="723">
        <v>0</v>
      </c>
      <c r="I18" s="723">
        <v>0</v>
      </c>
      <c r="J18" s="722">
        <v>792</v>
      </c>
      <c r="K18" s="722">
        <f>J18*16</f>
        <v>12672</v>
      </c>
      <c r="L18" s="724" t="s">
        <v>17</v>
      </c>
      <c r="M18" s="595"/>
    </row>
    <row r="19" spans="1:13" s="313" customFormat="1" ht="15" customHeight="1" x14ac:dyDescent="0.25">
      <c r="A19" s="585" t="s">
        <v>8</v>
      </c>
      <c r="B19" s="596">
        <v>765</v>
      </c>
      <c r="C19" s="596">
        <v>50538</v>
      </c>
      <c r="D19" s="596">
        <v>0</v>
      </c>
      <c r="E19" s="596">
        <v>0</v>
      </c>
      <c r="F19" s="596">
        <v>740</v>
      </c>
      <c r="G19" s="596">
        <f>F19*19</f>
        <v>14060</v>
      </c>
      <c r="H19" s="597">
        <v>0</v>
      </c>
      <c r="I19" s="597">
        <v>0</v>
      </c>
      <c r="J19" s="596">
        <v>443</v>
      </c>
      <c r="K19" s="596">
        <f>J19*13</f>
        <v>5759</v>
      </c>
      <c r="L19" s="587" t="s">
        <v>18</v>
      </c>
      <c r="M19" s="595"/>
    </row>
    <row r="20" spans="1:13" s="313" customFormat="1" ht="15" customHeight="1" x14ac:dyDescent="0.25">
      <c r="A20" s="720" t="s">
        <v>9</v>
      </c>
      <c r="B20" s="722">
        <v>558</v>
      </c>
      <c r="C20" s="722">
        <v>70271</v>
      </c>
      <c r="D20" s="722">
        <v>288</v>
      </c>
      <c r="E20" s="722">
        <v>1094</v>
      </c>
      <c r="F20" s="722">
        <v>584</v>
      </c>
      <c r="G20" s="722">
        <f>F20*23</f>
        <v>13432</v>
      </c>
      <c r="H20" s="723">
        <v>65</v>
      </c>
      <c r="I20" s="723">
        <f>H20*7</f>
        <v>455</v>
      </c>
      <c r="J20" s="722">
        <v>323</v>
      </c>
      <c r="K20" s="722">
        <f>J20*15</f>
        <v>4845</v>
      </c>
      <c r="L20" s="725" t="s">
        <v>19</v>
      </c>
      <c r="M20" s="595"/>
    </row>
    <row r="21" spans="1:13" s="313" customFormat="1" ht="15" customHeight="1" x14ac:dyDescent="0.25">
      <c r="A21" s="585" t="s">
        <v>10</v>
      </c>
      <c r="B21" s="596">
        <v>822</v>
      </c>
      <c r="C21" s="596">
        <v>446</v>
      </c>
      <c r="D21" s="596">
        <v>683</v>
      </c>
      <c r="E21" s="596">
        <v>83115</v>
      </c>
      <c r="F21" s="596">
        <v>936</v>
      </c>
      <c r="G21" s="596">
        <f>F21*25</f>
        <v>23400</v>
      </c>
      <c r="H21" s="597">
        <v>0</v>
      </c>
      <c r="I21" s="597">
        <v>0</v>
      </c>
      <c r="J21" s="596">
        <v>622</v>
      </c>
      <c r="K21" s="596">
        <f>J21*13</f>
        <v>8086</v>
      </c>
      <c r="L21" s="587" t="s">
        <v>20</v>
      </c>
      <c r="M21" s="595"/>
    </row>
    <row r="22" spans="1:13" s="313" customFormat="1" ht="12.75" customHeight="1" x14ac:dyDescent="0.25">
      <c r="A22" s="720" t="s">
        <v>12</v>
      </c>
      <c r="B22" s="722">
        <v>215</v>
      </c>
      <c r="C22" s="722">
        <v>8152</v>
      </c>
      <c r="D22" s="722">
        <v>22</v>
      </c>
      <c r="E22" s="722">
        <f>D22*107</f>
        <v>2354</v>
      </c>
      <c r="F22" s="722">
        <v>187</v>
      </c>
      <c r="G22" s="722">
        <f>F22*25</f>
        <v>4675</v>
      </c>
      <c r="H22" s="723">
        <v>22</v>
      </c>
      <c r="I22" s="723">
        <f>H22*10</f>
        <v>220</v>
      </c>
      <c r="J22" s="722">
        <v>158</v>
      </c>
      <c r="K22" s="722">
        <f>J22*17</f>
        <v>2686</v>
      </c>
      <c r="L22" s="724" t="s">
        <v>25</v>
      </c>
      <c r="M22" s="595"/>
    </row>
    <row r="23" spans="1:13" s="313" customFormat="1" ht="16.5" customHeight="1" thickBot="1" x14ac:dyDescent="0.3">
      <c r="A23" s="585" t="s">
        <v>13</v>
      </c>
      <c r="B23" s="596">
        <v>1395</v>
      </c>
      <c r="C23" s="596">
        <v>74964</v>
      </c>
      <c r="D23" s="596">
        <v>287</v>
      </c>
      <c r="E23" s="596">
        <v>62160</v>
      </c>
      <c r="F23" s="596">
        <v>1381</v>
      </c>
      <c r="G23" s="596">
        <v>111</v>
      </c>
      <c r="H23" s="597">
        <v>0</v>
      </c>
      <c r="I23" s="597">
        <v>0</v>
      </c>
      <c r="J23" s="596">
        <v>835</v>
      </c>
      <c r="K23" s="596">
        <v>1241</v>
      </c>
      <c r="L23" s="587" t="s">
        <v>22</v>
      </c>
      <c r="M23" s="595"/>
    </row>
    <row r="24" spans="1:13" s="537" customFormat="1" ht="17.25" customHeight="1" thickBot="1" x14ac:dyDescent="0.25">
      <c r="A24" s="599" t="s">
        <v>0</v>
      </c>
      <c r="B24" s="600">
        <f t="shared" ref="B24:J24" si="0">SUM(B9:B23)</f>
        <v>17994</v>
      </c>
      <c r="C24" s="600">
        <f t="shared" si="0"/>
        <v>580790</v>
      </c>
      <c r="D24" s="600">
        <f t="shared" si="0"/>
        <v>7009</v>
      </c>
      <c r="E24" s="600">
        <f t="shared" si="0"/>
        <v>1540364</v>
      </c>
      <c r="F24" s="600">
        <f t="shared" si="0"/>
        <v>16466</v>
      </c>
      <c r="G24" s="600">
        <f t="shared" si="0"/>
        <v>142969</v>
      </c>
      <c r="H24" s="600">
        <f t="shared" si="0"/>
        <v>10343</v>
      </c>
      <c r="I24" s="600">
        <f t="shared" si="0"/>
        <v>19827</v>
      </c>
      <c r="J24" s="600">
        <f t="shared" si="0"/>
        <v>12884</v>
      </c>
      <c r="K24" s="600">
        <f>SUM(K9:K23)</f>
        <v>94075</v>
      </c>
      <c r="L24" s="601" t="s">
        <v>1</v>
      </c>
    </row>
    <row r="25" spans="1:13" s="7" customFormat="1" ht="17.25" customHeight="1" x14ac:dyDescent="0.2">
      <c r="A25" s="889"/>
      <c r="B25" s="889"/>
      <c r="C25" s="889"/>
      <c r="D25" s="889"/>
      <c r="E25" s="889"/>
      <c r="F25" s="889"/>
      <c r="G25" s="889"/>
      <c r="H25" s="889"/>
      <c r="I25" s="211"/>
      <c r="J25" s="211"/>
      <c r="K25" s="211"/>
      <c r="L25" s="212"/>
    </row>
    <row r="26" spans="1:13" ht="14.25" x14ac:dyDescent="0.2">
      <c r="C26" s="7"/>
      <c r="D26" s="7"/>
      <c r="E26" s="7"/>
      <c r="F26" s="7"/>
      <c r="G26" s="7"/>
      <c r="L26" s="197"/>
    </row>
    <row r="27" spans="1:13" ht="15" x14ac:dyDescent="0.25">
      <c r="A27" s="908"/>
      <c r="B27" s="908"/>
      <c r="C27" s="7"/>
      <c r="D27" s="7"/>
      <c r="E27" s="7"/>
      <c r="F27" s="7"/>
      <c r="G27" s="7"/>
      <c r="L27" s="57"/>
    </row>
  </sheetData>
  <mergeCells count="14">
    <mergeCell ref="A1:L1"/>
    <mergeCell ref="A2:L2"/>
    <mergeCell ref="B5:C5"/>
    <mergeCell ref="A4:B4"/>
    <mergeCell ref="H4:K4"/>
    <mergeCell ref="C4:E4"/>
    <mergeCell ref="D5:E5"/>
    <mergeCell ref="A25:H25"/>
    <mergeCell ref="K3:L3"/>
    <mergeCell ref="A27:B27"/>
    <mergeCell ref="B6:C6"/>
    <mergeCell ref="D6:E6"/>
    <mergeCell ref="F6:G6"/>
    <mergeCell ref="F5:G5"/>
  </mergeCells>
  <phoneticPr fontId="3" type="noConversion"/>
  <printOptions horizontalCentered="1" verticalCentered="1"/>
  <pageMargins left="0.85" right="0.62" top="1.03125E-2" bottom="0.98425196850393704" header="0.78740157480314998" footer="0.511811023622047"/>
  <pageSetup scale="99" orientation="landscape" verticalDpi="300" r:id="rId1"/>
  <headerFooter alignWithMargins="0">
    <oddFooter>&amp;C43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60"/>
  <sheetViews>
    <sheetView rightToLeft="1" zoomScaleSheetLayoutView="100" workbookViewId="0">
      <selection activeCell="H5" sqref="H5"/>
    </sheetView>
  </sheetViews>
  <sheetFormatPr defaultRowHeight="12.75" x14ac:dyDescent="0.2"/>
  <cols>
    <col min="1" max="1" width="10.85546875" customWidth="1"/>
    <col min="2" max="2" width="13.85546875" customWidth="1"/>
    <col min="3" max="3" width="12.7109375" customWidth="1"/>
    <col min="4" max="4" width="12" customWidth="1"/>
    <col min="5" max="5" width="11.42578125" customWidth="1"/>
    <col min="6" max="6" width="11.140625" customWidth="1"/>
    <col min="7" max="7" width="12" customWidth="1"/>
    <col min="8" max="8" width="10.28515625" customWidth="1"/>
    <col min="9" max="9" width="12.140625" customWidth="1"/>
    <col min="10" max="10" width="16.5703125" customWidth="1"/>
    <col min="11" max="11" width="20" customWidth="1"/>
  </cols>
  <sheetData>
    <row r="1" spans="1:11" ht="15" x14ac:dyDescent="0.2">
      <c r="A1" s="940" t="s">
        <v>482</v>
      </c>
      <c r="B1" s="940"/>
      <c r="C1" s="940"/>
      <c r="D1" s="940"/>
      <c r="E1" s="940"/>
      <c r="F1" s="940"/>
      <c r="G1" s="940"/>
      <c r="H1" s="940"/>
      <c r="I1" s="940"/>
      <c r="J1" s="940"/>
    </row>
    <row r="2" spans="1:11" s="7" customFormat="1" ht="15" x14ac:dyDescent="0.2">
      <c r="A2" s="913" t="s">
        <v>471</v>
      </c>
      <c r="B2" s="913"/>
      <c r="C2" s="913"/>
      <c r="D2" s="913"/>
      <c r="E2" s="913"/>
      <c r="F2" s="913"/>
      <c r="G2" s="913"/>
      <c r="H2" s="913"/>
      <c r="I2" s="913"/>
      <c r="J2" s="913"/>
    </row>
    <row r="3" spans="1:11" ht="15" x14ac:dyDescent="0.25">
      <c r="I3" s="873" t="s">
        <v>215</v>
      </c>
      <c r="J3" s="873"/>
    </row>
    <row r="4" spans="1:11" ht="21" customHeight="1" thickBot="1" x14ac:dyDescent="0.3">
      <c r="A4" s="943" t="s">
        <v>419</v>
      </c>
      <c r="B4" s="943"/>
      <c r="C4" s="942" t="s">
        <v>202</v>
      </c>
      <c r="D4" s="942"/>
      <c r="E4" s="942"/>
      <c r="F4" s="19"/>
      <c r="G4" s="19"/>
      <c r="H4" s="941"/>
      <c r="I4" s="941"/>
      <c r="J4" s="243" t="s">
        <v>335</v>
      </c>
    </row>
    <row r="5" spans="1:11" ht="29.25" customHeight="1" x14ac:dyDescent="0.25">
      <c r="A5" s="153"/>
      <c r="B5" s="155" t="s">
        <v>33</v>
      </c>
      <c r="C5" s="153"/>
      <c r="D5" s="155" t="s">
        <v>57</v>
      </c>
      <c r="E5" s="153"/>
      <c r="F5" s="944" t="s">
        <v>41</v>
      </c>
      <c r="G5" s="944"/>
      <c r="H5" s="155" t="s">
        <v>503</v>
      </c>
      <c r="I5" s="153"/>
      <c r="J5" s="154"/>
    </row>
    <row r="6" spans="1:11" ht="27" customHeight="1" x14ac:dyDescent="0.25">
      <c r="A6" s="123"/>
      <c r="B6" s="123" t="s">
        <v>297</v>
      </c>
      <c r="C6" s="123"/>
      <c r="D6" s="123" t="s">
        <v>303</v>
      </c>
      <c r="E6" s="123"/>
      <c r="F6" s="853" t="s">
        <v>345</v>
      </c>
      <c r="G6" s="853"/>
      <c r="H6" s="123" t="s">
        <v>172</v>
      </c>
      <c r="I6" s="123"/>
      <c r="J6" s="152"/>
    </row>
    <row r="7" spans="1:11" ht="15" customHeight="1" x14ac:dyDescent="0.25">
      <c r="A7" s="439"/>
      <c r="B7" s="440" t="s">
        <v>42</v>
      </c>
      <c r="C7" s="440" t="s">
        <v>238</v>
      </c>
      <c r="D7" s="440" t="s">
        <v>42</v>
      </c>
      <c r="E7" s="440" t="s">
        <v>238</v>
      </c>
      <c r="F7" s="440" t="s">
        <v>42</v>
      </c>
      <c r="G7" s="440" t="s">
        <v>238</v>
      </c>
      <c r="H7" s="440" t="s">
        <v>67</v>
      </c>
      <c r="I7" s="440" t="s">
        <v>238</v>
      </c>
      <c r="J7" s="71"/>
    </row>
    <row r="8" spans="1:11" s="443" customFormat="1" ht="15" customHeight="1" thickBot="1" x14ac:dyDescent="0.25">
      <c r="A8" s="441" t="s">
        <v>54</v>
      </c>
      <c r="B8" s="442" t="s">
        <v>43</v>
      </c>
      <c r="C8" s="442" t="s">
        <v>29</v>
      </c>
      <c r="D8" s="442" t="s">
        <v>43</v>
      </c>
      <c r="E8" s="442" t="s">
        <v>29</v>
      </c>
      <c r="F8" s="442" t="s">
        <v>43</v>
      </c>
      <c r="G8" s="442" t="s">
        <v>29</v>
      </c>
      <c r="H8" s="442" t="s">
        <v>195</v>
      </c>
      <c r="I8" s="442" t="s">
        <v>29</v>
      </c>
      <c r="J8" s="442" t="s">
        <v>26</v>
      </c>
    </row>
    <row r="9" spans="1:11" s="313" customFormat="1" ht="15" customHeight="1" x14ac:dyDescent="0.25">
      <c r="A9" s="602" t="s">
        <v>380</v>
      </c>
      <c r="B9" s="596">
        <v>41932</v>
      </c>
      <c r="C9" s="596">
        <v>252370</v>
      </c>
      <c r="D9" s="596">
        <v>4015</v>
      </c>
      <c r="E9" s="596">
        <f>D9*15</f>
        <v>60225</v>
      </c>
      <c r="F9" s="596">
        <v>2883</v>
      </c>
      <c r="G9" s="596">
        <f>F9*7</f>
        <v>20181</v>
      </c>
      <c r="H9" s="597">
        <v>2883</v>
      </c>
      <c r="I9" s="597">
        <f>H9*198</f>
        <v>570834</v>
      </c>
      <c r="J9" s="603" t="s">
        <v>381</v>
      </c>
      <c r="K9" s="595"/>
    </row>
    <row r="10" spans="1:11" s="313" customFormat="1" ht="15" customHeight="1" x14ac:dyDescent="0.25">
      <c r="A10" s="726" t="s">
        <v>30</v>
      </c>
      <c r="B10" s="722">
        <v>183385</v>
      </c>
      <c r="C10" s="722">
        <v>754993</v>
      </c>
      <c r="D10" s="722">
        <v>9521</v>
      </c>
      <c r="E10" s="722">
        <f>D10*15</f>
        <v>142815</v>
      </c>
      <c r="F10" s="722">
        <v>3379</v>
      </c>
      <c r="G10" s="722">
        <v>1186314</v>
      </c>
      <c r="H10" s="723">
        <v>3379</v>
      </c>
      <c r="I10" s="723">
        <v>1186314</v>
      </c>
      <c r="J10" s="727" t="s">
        <v>31</v>
      </c>
      <c r="K10" s="595"/>
    </row>
    <row r="11" spans="1:11" s="313" customFormat="1" ht="15" customHeight="1" x14ac:dyDescent="0.25">
      <c r="A11" s="602" t="s">
        <v>3</v>
      </c>
      <c r="B11" s="596">
        <v>185539</v>
      </c>
      <c r="C11" s="596">
        <v>457118</v>
      </c>
      <c r="D11" s="596">
        <v>14088</v>
      </c>
      <c r="E11" s="596">
        <v>86103</v>
      </c>
      <c r="F11" s="596">
        <v>7567</v>
      </c>
      <c r="G11" s="596">
        <f>F11*6</f>
        <v>45402</v>
      </c>
      <c r="H11" s="597">
        <v>7567</v>
      </c>
      <c r="I11" s="597">
        <f t="shared" ref="I11:I18" si="0">H11*198</f>
        <v>1498266</v>
      </c>
      <c r="J11" s="603" t="s">
        <v>15</v>
      </c>
      <c r="K11" s="595"/>
    </row>
    <row r="12" spans="1:11" s="313" customFormat="1" ht="15" customHeight="1" x14ac:dyDescent="0.25">
      <c r="A12" s="728" t="s">
        <v>365</v>
      </c>
      <c r="B12" s="722">
        <v>88282</v>
      </c>
      <c r="C12" s="722">
        <v>190374</v>
      </c>
      <c r="D12" s="722">
        <v>2127</v>
      </c>
      <c r="E12" s="722">
        <v>39474</v>
      </c>
      <c r="F12" s="722">
        <v>2693</v>
      </c>
      <c r="G12" s="722">
        <f>F12*5</f>
        <v>13465</v>
      </c>
      <c r="H12" s="723">
        <v>2693</v>
      </c>
      <c r="I12" s="723">
        <f t="shared" si="0"/>
        <v>533214</v>
      </c>
      <c r="J12" s="727" t="s">
        <v>359</v>
      </c>
      <c r="K12" s="595"/>
    </row>
    <row r="13" spans="1:11" s="313" customFormat="1" ht="15" customHeight="1" x14ac:dyDescent="0.25">
      <c r="A13" s="602" t="s">
        <v>4</v>
      </c>
      <c r="B13" s="596">
        <v>1085304</v>
      </c>
      <c r="C13" s="596">
        <v>4112987</v>
      </c>
      <c r="D13" s="596">
        <v>91020</v>
      </c>
      <c r="E13" s="596">
        <v>1179133</v>
      </c>
      <c r="F13" s="596">
        <v>47362</v>
      </c>
      <c r="G13" s="596">
        <f>F13*5</f>
        <v>236810</v>
      </c>
      <c r="H13" s="597">
        <v>47362</v>
      </c>
      <c r="I13" s="597">
        <f t="shared" si="0"/>
        <v>9377676</v>
      </c>
      <c r="J13" s="603" t="s">
        <v>16</v>
      </c>
      <c r="K13" s="595"/>
    </row>
    <row r="14" spans="1:11" s="313" customFormat="1" ht="15" customHeight="1" x14ac:dyDescent="0.25">
      <c r="A14" s="726" t="s">
        <v>5</v>
      </c>
      <c r="B14" s="722">
        <v>181106</v>
      </c>
      <c r="C14" s="722">
        <v>540637</v>
      </c>
      <c r="D14" s="722">
        <v>5792</v>
      </c>
      <c r="E14" s="722">
        <f>D14*13</f>
        <v>75296</v>
      </c>
      <c r="F14" s="722">
        <v>10322</v>
      </c>
      <c r="G14" s="722">
        <f>F14*2</f>
        <v>20644</v>
      </c>
      <c r="H14" s="723">
        <v>10322</v>
      </c>
      <c r="I14" s="723">
        <f t="shared" si="0"/>
        <v>2043756</v>
      </c>
      <c r="J14" s="727" t="s">
        <v>23</v>
      </c>
      <c r="K14" s="595"/>
    </row>
    <row r="15" spans="1:11" s="313" customFormat="1" ht="15" customHeight="1" x14ac:dyDescent="0.25">
      <c r="A15" s="602" t="s">
        <v>6</v>
      </c>
      <c r="B15" s="596">
        <v>119707</v>
      </c>
      <c r="C15" s="596">
        <v>119022</v>
      </c>
      <c r="D15" s="596">
        <v>231</v>
      </c>
      <c r="E15" s="596">
        <f>D15*13</f>
        <v>3003</v>
      </c>
      <c r="F15" s="596">
        <v>940</v>
      </c>
      <c r="G15" s="596">
        <f>F15*6</f>
        <v>5640</v>
      </c>
      <c r="H15" s="597">
        <v>940</v>
      </c>
      <c r="I15" s="597">
        <f t="shared" si="0"/>
        <v>186120</v>
      </c>
      <c r="J15" s="603" t="s">
        <v>24</v>
      </c>
      <c r="K15" s="595"/>
    </row>
    <row r="16" spans="1:11" s="313" customFormat="1" ht="15" customHeight="1" x14ac:dyDescent="0.25">
      <c r="A16" s="726" t="s">
        <v>11</v>
      </c>
      <c r="B16" s="722">
        <v>97398</v>
      </c>
      <c r="C16" s="722">
        <v>78123</v>
      </c>
      <c r="D16" s="722">
        <v>6690</v>
      </c>
      <c r="E16" s="722">
        <f>D16*13</f>
        <v>86970</v>
      </c>
      <c r="F16" s="722">
        <v>7774</v>
      </c>
      <c r="G16" s="722">
        <f>F16*2</f>
        <v>15548</v>
      </c>
      <c r="H16" s="723">
        <v>7774</v>
      </c>
      <c r="I16" s="723">
        <f t="shared" si="0"/>
        <v>1539252</v>
      </c>
      <c r="J16" s="727" t="s">
        <v>21</v>
      </c>
      <c r="K16" s="595"/>
    </row>
    <row r="17" spans="1:11" s="313" customFormat="1" ht="15" customHeight="1" x14ac:dyDescent="0.25">
      <c r="A17" s="602" t="s">
        <v>2</v>
      </c>
      <c r="B17" s="596">
        <v>116460</v>
      </c>
      <c r="C17" s="596">
        <v>460586</v>
      </c>
      <c r="D17" s="596">
        <v>5842</v>
      </c>
      <c r="E17" s="596">
        <f>D17*13</f>
        <v>75946</v>
      </c>
      <c r="F17" s="596">
        <v>2925</v>
      </c>
      <c r="G17" s="596">
        <f>F17*4</f>
        <v>11700</v>
      </c>
      <c r="H17" s="597">
        <v>2925</v>
      </c>
      <c r="I17" s="597">
        <f t="shared" si="0"/>
        <v>579150</v>
      </c>
      <c r="J17" s="603" t="s">
        <v>14</v>
      </c>
      <c r="K17" s="595"/>
    </row>
    <row r="18" spans="1:11" s="313" customFormat="1" ht="15" customHeight="1" x14ac:dyDescent="0.25">
      <c r="A18" s="726" t="s">
        <v>7</v>
      </c>
      <c r="B18" s="722">
        <v>173125</v>
      </c>
      <c r="C18" s="722">
        <v>925649</v>
      </c>
      <c r="D18" s="722">
        <v>0</v>
      </c>
      <c r="E18" s="722">
        <f>D18*13</f>
        <v>0</v>
      </c>
      <c r="F18" s="722">
        <v>3566</v>
      </c>
      <c r="G18" s="722">
        <f>F18*3</f>
        <v>10698</v>
      </c>
      <c r="H18" s="723">
        <v>3566</v>
      </c>
      <c r="I18" s="723">
        <f t="shared" si="0"/>
        <v>706068</v>
      </c>
      <c r="J18" s="727" t="s">
        <v>17</v>
      </c>
      <c r="K18" s="595"/>
    </row>
    <row r="19" spans="1:11" s="313" customFormat="1" ht="15" customHeight="1" x14ac:dyDescent="0.25">
      <c r="A19" s="602" t="s">
        <v>8</v>
      </c>
      <c r="B19" s="596">
        <v>158350</v>
      </c>
      <c r="C19" s="596">
        <v>317728</v>
      </c>
      <c r="D19" s="596">
        <v>476</v>
      </c>
      <c r="E19" s="596">
        <v>7090</v>
      </c>
      <c r="F19" s="596">
        <v>6103</v>
      </c>
      <c r="G19" s="596">
        <v>942192</v>
      </c>
      <c r="H19" s="597">
        <v>6103</v>
      </c>
      <c r="I19" s="597">
        <v>942192</v>
      </c>
      <c r="J19" s="603" t="s">
        <v>18</v>
      </c>
      <c r="K19" s="595"/>
    </row>
    <row r="20" spans="1:11" s="313" customFormat="1" ht="15" customHeight="1" x14ac:dyDescent="0.25">
      <c r="A20" s="726" t="s">
        <v>9</v>
      </c>
      <c r="B20" s="722">
        <v>113186</v>
      </c>
      <c r="C20" s="722">
        <v>210813</v>
      </c>
      <c r="D20" s="722">
        <v>5897</v>
      </c>
      <c r="E20" s="722">
        <f>D20*13</f>
        <v>76661</v>
      </c>
      <c r="F20" s="722">
        <v>3979</v>
      </c>
      <c r="G20" s="722">
        <f>F20*3</f>
        <v>11937</v>
      </c>
      <c r="H20" s="723">
        <v>3979</v>
      </c>
      <c r="I20" s="723">
        <f>H20*198</f>
        <v>787842</v>
      </c>
      <c r="J20" s="727" t="s">
        <v>19</v>
      </c>
      <c r="K20" s="595"/>
    </row>
    <row r="21" spans="1:11" s="313" customFormat="1" ht="15" customHeight="1" x14ac:dyDescent="0.25">
      <c r="A21" s="602" t="s">
        <v>10</v>
      </c>
      <c r="B21" s="596">
        <v>104471</v>
      </c>
      <c r="C21" s="596">
        <v>341221</v>
      </c>
      <c r="D21" s="596">
        <v>1901</v>
      </c>
      <c r="E21" s="596">
        <f>D21*13</f>
        <v>24713</v>
      </c>
      <c r="F21" s="596">
        <v>12464</v>
      </c>
      <c r="G21" s="596">
        <v>1243311</v>
      </c>
      <c r="H21" s="597">
        <v>12464</v>
      </c>
      <c r="I21" s="597">
        <v>1243311</v>
      </c>
      <c r="J21" s="603" t="s">
        <v>20</v>
      </c>
      <c r="K21" s="595"/>
    </row>
    <row r="22" spans="1:11" s="313" customFormat="1" ht="15" customHeight="1" x14ac:dyDescent="0.25">
      <c r="A22" s="726" t="s">
        <v>12</v>
      </c>
      <c r="B22" s="722">
        <v>33107</v>
      </c>
      <c r="C22" s="722">
        <v>96553</v>
      </c>
      <c r="D22" s="722">
        <v>48</v>
      </c>
      <c r="E22" s="722">
        <f>D22*13</f>
        <v>624</v>
      </c>
      <c r="F22" s="722">
        <v>548</v>
      </c>
      <c r="G22" s="722">
        <v>104250</v>
      </c>
      <c r="H22" s="723">
        <v>548</v>
      </c>
      <c r="I22" s="723">
        <v>104250</v>
      </c>
      <c r="J22" s="727" t="s">
        <v>25</v>
      </c>
      <c r="K22" s="595"/>
    </row>
    <row r="23" spans="1:11" s="313" customFormat="1" ht="15" customHeight="1" thickBot="1" x14ac:dyDescent="0.3">
      <c r="A23" s="602" t="s">
        <v>13</v>
      </c>
      <c r="B23" s="596">
        <v>165812</v>
      </c>
      <c r="C23" s="596">
        <v>669698</v>
      </c>
      <c r="D23" s="596">
        <v>13431</v>
      </c>
      <c r="E23" s="596">
        <v>198191</v>
      </c>
      <c r="F23" s="596">
        <v>11021</v>
      </c>
      <c r="G23" s="596">
        <f>F23*1</f>
        <v>11021</v>
      </c>
      <c r="H23" s="597">
        <v>11021</v>
      </c>
      <c r="I23" s="597">
        <f>H23*198</f>
        <v>2182158</v>
      </c>
      <c r="J23" s="604" t="s">
        <v>22</v>
      </c>
      <c r="K23" s="595"/>
    </row>
    <row r="24" spans="1:11" s="313" customFormat="1" ht="15.75" customHeight="1" thickBot="1" x14ac:dyDescent="0.25">
      <c r="A24" s="605" t="s">
        <v>0</v>
      </c>
      <c r="B24" s="606">
        <f>SUM(B9:B23)</f>
        <v>2847164</v>
      </c>
      <c r="C24" s="606">
        <f>SUM(C9:C23)</f>
        <v>9527872</v>
      </c>
      <c r="D24" s="606">
        <f>SUM(D9:D23)</f>
        <v>161079</v>
      </c>
      <c r="E24" s="606">
        <f>SUM(E9:E23)</f>
        <v>2056244</v>
      </c>
      <c r="F24" s="606">
        <v>123526</v>
      </c>
      <c r="G24" s="606">
        <f>SUM(G9:G23)</f>
        <v>3879113</v>
      </c>
      <c r="H24" s="606">
        <f>SUM(H9:H23)</f>
        <v>123526</v>
      </c>
      <c r="I24" s="606">
        <f>SUM(I9:I23)</f>
        <v>23480403</v>
      </c>
      <c r="J24" s="607" t="s">
        <v>1</v>
      </c>
    </row>
    <row r="25" spans="1:11" s="7" customFormat="1" ht="15.75" customHeight="1" thickTop="1" x14ac:dyDescent="0.2">
      <c r="A25" s="889"/>
      <c r="B25" s="889"/>
      <c r="C25" s="889"/>
      <c r="D25" s="889"/>
      <c r="E25" s="889"/>
      <c r="F25" s="889"/>
      <c r="G25" s="889"/>
      <c r="H25" s="889"/>
      <c r="I25" s="211"/>
      <c r="J25" s="214"/>
    </row>
    <row r="26" spans="1:11" ht="14.25" x14ac:dyDescent="0.2">
      <c r="C26" s="7"/>
      <c r="D26" s="7"/>
      <c r="E26" s="7"/>
      <c r="F26" s="7"/>
      <c r="G26" s="7"/>
      <c r="H26" s="7"/>
      <c r="I26" s="7"/>
      <c r="J26" s="197"/>
    </row>
    <row r="27" spans="1:11" ht="15" x14ac:dyDescent="0.25">
      <c r="A27" s="908"/>
      <c r="B27" s="908"/>
      <c r="C27" s="7"/>
      <c r="D27" s="7"/>
      <c r="E27" s="7"/>
      <c r="F27" s="7"/>
      <c r="G27" s="7"/>
      <c r="H27" s="7"/>
      <c r="I27" s="909"/>
      <c r="J27" s="909"/>
    </row>
    <row r="47" spans="2:5" x14ac:dyDescent="0.2">
      <c r="B47" s="6">
        <v>28665868451</v>
      </c>
      <c r="C47">
        <v>662900</v>
      </c>
      <c r="D47">
        <v>349230</v>
      </c>
      <c r="E47" s="6">
        <f t="shared" ref="E47:E60" si="1">B47+C47+D47</f>
        <v>28666880581</v>
      </c>
    </row>
    <row r="48" spans="2:5" x14ac:dyDescent="0.2">
      <c r="B48" s="6">
        <v>73047769925</v>
      </c>
      <c r="C48">
        <v>271660</v>
      </c>
      <c r="D48">
        <v>660120</v>
      </c>
      <c r="E48" s="6">
        <f t="shared" si="1"/>
        <v>73048701705</v>
      </c>
    </row>
    <row r="49" spans="2:5" x14ac:dyDescent="0.2">
      <c r="B49" s="6">
        <v>1400964851</v>
      </c>
      <c r="C49">
        <v>7681</v>
      </c>
      <c r="D49">
        <v>8346</v>
      </c>
      <c r="E49" s="6">
        <f t="shared" si="1"/>
        <v>1400980878</v>
      </c>
    </row>
    <row r="50" spans="2:5" x14ac:dyDescent="0.2">
      <c r="B50" s="6">
        <v>294236672924</v>
      </c>
      <c r="C50">
        <v>5874815</v>
      </c>
      <c r="D50">
        <v>4660640</v>
      </c>
      <c r="E50" s="6">
        <f t="shared" si="1"/>
        <v>294247208379</v>
      </c>
    </row>
    <row r="51" spans="2:5" x14ac:dyDescent="0.2">
      <c r="B51" s="6">
        <v>49144404744</v>
      </c>
      <c r="C51">
        <v>854940</v>
      </c>
      <c r="D51">
        <v>473742</v>
      </c>
      <c r="E51" s="6">
        <f t="shared" si="1"/>
        <v>49145733426</v>
      </c>
    </row>
    <row r="52" spans="2:5" x14ac:dyDescent="0.2">
      <c r="B52" s="6">
        <v>34523077995</v>
      </c>
      <c r="C52">
        <v>430740</v>
      </c>
      <c r="D52">
        <v>393666</v>
      </c>
      <c r="E52" s="6">
        <f t="shared" si="1"/>
        <v>34523902401</v>
      </c>
    </row>
    <row r="53" spans="2:5" x14ac:dyDescent="0.2">
      <c r="B53" s="6">
        <v>58423127945</v>
      </c>
      <c r="C53">
        <v>654035</v>
      </c>
      <c r="D53">
        <v>361837</v>
      </c>
      <c r="E53" s="6">
        <f t="shared" si="1"/>
        <v>58424143817</v>
      </c>
    </row>
    <row r="54" spans="2:5" x14ac:dyDescent="0.2">
      <c r="B54" s="6">
        <v>15330166967</v>
      </c>
      <c r="C54">
        <v>312500</v>
      </c>
      <c r="D54">
        <v>175155</v>
      </c>
      <c r="E54" s="6">
        <f t="shared" si="1"/>
        <v>15330654622</v>
      </c>
    </row>
    <row r="55" spans="2:5" x14ac:dyDescent="0.2">
      <c r="B55" s="6">
        <v>48736888030</v>
      </c>
      <c r="C55">
        <v>600720</v>
      </c>
      <c r="D55">
        <v>456190</v>
      </c>
      <c r="E55" s="6">
        <f t="shared" si="1"/>
        <v>48737944940</v>
      </c>
    </row>
    <row r="56" spans="2:5" x14ac:dyDescent="0.2">
      <c r="B56" s="6">
        <v>14515183121</v>
      </c>
      <c r="C56">
        <v>80500</v>
      </c>
      <c r="D56">
        <v>129940</v>
      </c>
      <c r="E56" s="6">
        <f t="shared" si="1"/>
        <v>14515393561</v>
      </c>
    </row>
    <row r="57" spans="2:5" x14ac:dyDescent="0.2">
      <c r="B57" s="6">
        <v>8936648794</v>
      </c>
      <c r="C57">
        <v>102205</v>
      </c>
      <c r="D57">
        <v>114421</v>
      </c>
      <c r="E57" s="6">
        <f t="shared" si="1"/>
        <v>8936865420</v>
      </c>
    </row>
    <row r="58" spans="2:5" x14ac:dyDescent="0.2">
      <c r="B58" s="6">
        <v>30908581541</v>
      </c>
      <c r="C58">
        <v>322875</v>
      </c>
      <c r="D58">
        <v>534490</v>
      </c>
      <c r="E58" s="6">
        <f t="shared" si="1"/>
        <v>30909438906</v>
      </c>
    </row>
    <row r="59" spans="2:5" x14ac:dyDescent="0.2">
      <c r="B59" s="6">
        <v>5934467360</v>
      </c>
      <c r="C59">
        <v>252975</v>
      </c>
      <c r="D59">
        <v>127205</v>
      </c>
      <c r="E59" s="6">
        <f t="shared" si="1"/>
        <v>5934847540</v>
      </c>
    </row>
    <row r="60" spans="2:5" x14ac:dyDescent="0.2">
      <c r="B60" s="6">
        <v>35545292524</v>
      </c>
      <c r="C60">
        <v>660550</v>
      </c>
      <c r="D60">
        <v>557400</v>
      </c>
      <c r="E60" s="6">
        <f t="shared" si="1"/>
        <v>35546510474</v>
      </c>
    </row>
  </sheetData>
  <mergeCells count="11">
    <mergeCell ref="I3:J3"/>
    <mergeCell ref="A27:B27"/>
    <mergeCell ref="I27:J27"/>
    <mergeCell ref="A1:J1"/>
    <mergeCell ref="A2:J2"/>
    <mergeCell ref="H4:I4"/>
    <mergeCell ref="C4:E4"/>
    <mergeCell ref="A4:B4"/>
    <mergeCell ref="F6:G6"/>
    <mergeCell ref="F5:G5"/>
    <mergeCell ref="A25:H25"/>
  </mergeCells>
  <phoneticPr fontId="3" type="noConversion"/>
  <printOptions horizontalCentered="1" verticalCentered="1"/>
  <pageMargins left="0.25" right="0.25" top="1.1100000000000001" bottom="0.75" header="0.3" footer="0.3"/>
  <pageSetup orientation="landscape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7"/>
  <sheetViews>
    <sheetView rightToLeft="1" zoomScaleSheetLayoutView="91" workbookViewId="0">
      <selection activeCell="R7" sqref="R7"/>
    </sheetView>
  </sheetViews>
  <sheetFormatPr defaultRowHeight="12.75" x14ac:dyDescent="0.2"/>
  <cols>
    <col min="1" max="1" width="10.5703125" customWidth="1"/>
    <col min="2" max="2" width="8.42578125" customWidth="1"/>
    <col min="3" max="3" width="12.5703125" customWidth="1"/>
    <col min="4" max="4" width="7.7109375" customWidth="1"/>
    <col min="5" max="5" width="13.140625" customWidth="1"/>
    <col min="6" max="6" width="9" customWidth="1"/>
    <col min="7" max="7" width="10.7109375" customWidth="1"/>
    <col min="8" max="8" width="13.5703125" style="7" customWidth="1"/>
    <col min="9" max="9" width="17.28515625" customWidth="1"/>
    <col min="10" max="10" width="16.140625" customWidth="1"/>
    <col min="11" max="11" width="10.140625" hidden="1" customWidth="1"/>
    <col min="12" max="12" width="9.140625" hidden="1" customWidth="1"/>
  </cols>
  <sheetData>
    <row r="1" spans="1:11" ht="15" customHeight="1" x14ac:dyDescent="0.2">
      <c r="A1" s="946" t="s">
        <v>482</v>
      </c>
      <c r="B1" s="946"/>
      <c r="C1" s="946"/>
      <c r="D1" s="946"/>
      <c r="E1" s="946"/>
      <c r="F1" s="946"/>
      <c r="G1" s="946"/>
      <c r="H1" s="946"/>
      <c r="I1" s="946"/>
      <c r="J1" s="946"/>
    </row>
    <row r="2" spans="1:11" ht="12.75" customHeight="1" x14ac:dyDescent="0.2">
      <c r="A2" s="947" t="s">
        <v>473</v>
      </c>
      <c r="B2" s="947"/>
      <c r="C2" s="947"/>
      <c r="D2" s="947"/>
      <c r="E2" s="947"/>
      <c r="F2" s="947"/>
      <c r="G2" s="947"/>
      <c r="H2" s="947"/>
      <c r="I2" s="947"/>
      <c r="J2" s="947"/>
    </row>
    <row r="3" spans="1:11" s="7" customFormat="1" ht="12.75" customHeight="1" x14ac:dyDescent="0.25">
      <c r="A3" s="230"/>
      <c r="B3" s="230"/>
      <c r="C3" s="230"/>
      <c r="D3" s="230"/>
      <c r="E3" s="230"/>
      <c r="F3" s="230"/>
      <c r="G3" s="230"/>
      <c r="H3" s="293"/>
      <c r="I3" s="873" t="s">
        <v>215</v>
      </c>
      <c r="J3" s="873"/>
    </row>
    <row r="4" spans="1:11" ht="17.25" customHeight="1" thickBot="1" x14ac:dyDescent="0.25">
      <c r="A4" s="945" t="s">
        <v>198</v>
      </c>
      <c r="B4" s="945"/>
      <c r="C4" s="948" t="s">
        <v>176</v>
      </c>
      <c r="D4" s="948"/>
      <c r="E4" s="156"/>
      <c r="F4" s="925" t="s">
        <v>344</v>
      </c>
      <c r="G4" s="925"/>
      <c r="H4" s="925"/>
      <c r="I4" s="925"/>
      <c r="J4" s="157" t="s">
        <v>335</v>
      </c>
    </row>
    <row r="5" spans="1:11" ht="15" customHeight="1" x14ac:dyDescent="0.25">
      <c r="A5" s="39"/>
      <c r="B5" s="171" t="s">
        <v>34</v>
      </c>
      <c r="C5" s="170"/>
      <c r="D5" s="949" t="s">
        <v>35</v>
      </c>
      <c r="E5" s="949"/>
      <c r="F5" s="949" t="s">
        <v>56</v>
      </c>
      <c r="G5" s="949"/>
      <c r="H5" s="949" t="s">
        <v>0</v>
      </c>
      <c r="I5" s="949"/>
      <c r="J5" s="39"/>
    </row>
    <row r="6" spans="1:11" ht="15" customHeight="1" x14ac:dyDescent="0.25">
      <c r="A6" s="42"/>
      <c r="B6" s="158" t="s">
        <v>264</v>
      </c>
      <c r="C6" s="158"/>
      <c r="D6" s="857" t="s">
        <v>304</v>
      </c>
      <c r="E6" s="857"/>
      <c r="F6" s="854" t="s">
        <v>170</v>
      </c>
      <c r="G6" s="854"/>
      <c r="H6" s="292"/>
      <c r="I6" s="159" t="s">
        <v>1</v>
      </c>
      <c r="J6" s="42"/>
    </row>
    <row r="7" spans="1:11" ht="15" customHeight="1" thickBot="1" x14ac:dyDescent="0.25">
      <c r="A7" s="445"/>
      <c r="B7" s="446" t="s">
        <v>27</v>
      </c>
      <c r="C7" s="447" t="s">
        <v>238</v>
      </c>
      <c r="D7" s="447" t="s">
        <v>27</v>
      </c>
      <c r="E7" s="447" t="s">
        <v>238</v>
      </c>
      <c r="F7" s="447" t="s">
        <v>27</v>
      </c>
      <c r="G7" s="447" t="s">
        <v>238</v>
      </c>
      <c r="H7" s="434" t="s">
        <v>27</v>
      </c>
      <c r="I7" s="446" t="s">
        <v>238</v>
      </c>
      <c r="J7" s="158"/>
    </row>
    <row r="8" spans="1:11" s="729" customFormat="1" ht="15" customHeight="1" thickBot="1" x14ac:dyDescent="0.25">
      <c r="A8" s="730" t="s">
        <v>54</v>
      </c>
      <c r="B8" s="731" t="s">
        <v>133</v>
      </c>
      <c r="C8" s="731" t="s">
        <v>29</v>
      </c>
      <c r="D8" s="731" t="s">
        <v>133</v>
      </c>
      <c r="E8" s="731" t="s">
        <v>29</v>
      </c>
      <c r="F8" s="731" t="s">
        <v>133</v>
      </c>
      <c r="G8" s="731" t="s">
        <v>29</v>
      </c>
      <c r="H8" s="732" t="s">
        <v>133</v>
      </c>
      <c r="I8" s="731" t="s">
        <v>29</v>
      </c>
      <c r="J8" s="733" t="s">
        <v>26</v>
      </c>
    </row>
    <row r="9" spans="1:11" s="485" customFormat="1" ht="15" customHeight="1" x14ac:dyDescent="0.25">
      <c r="A9" s="726" t="s">
        <v>380</v>
      </c>
      <c r="B9" s="722">
        <v>178</v>
      </c>
      <c r="C9" s="722">
        <v>12248</v>
      </c>
      <c r="D9" s="722">
        <v>802</v>
      </c>
      <c r="E9" s="722">
        <v>632240</v>
      </c>
      <c r="F9" s="722">
        <v>272</v>
      </c>
      <c r="G9" s="722">
        <v>41745</v>
      </c>
      <c r="H9" s="723">
        <f>ت.صحيه1!B9+ت.صحيه1!D9+ت.صحيه1!F9+ت.صحيه1!H9+ت.صحيه1!J9+ت.صحيه2!B9+ت.صحيه2!D9+ت.صحيه2!F9+ت.صحيه3!B9+ت.صحيه3!D9+ت.صحيه3!F9</f>
        <v>50956</v>
      </c>
      <c r="I9" s="723">
        <f>ت.صحيه1!C9+ت.صحيه1!E9+ت.صحيه1!G9+ت.صحيه1!I9+ت.صحيه1!K9+ت.صحيه2!C9+ت.صحيه2!E9+ت.صحيه2!G9+ت.صحيه3!C9+ت.صحيه3!E9+ت.صحيه3!G9</f>
        <v>1037776</v>
      </c>
      <c r="J9" s="727" t="s">
        <v>381</v>
      </c>
      <c r="K9" s="608"/>
    </row>
    <row r="10" spans="1:11" s="313" customFormat="1" ht="15" customHeight="1" x14ac:dyDescent="0.25">
      <c r="A10" s="782" t="s">
        <v>30</v>
      </c>
      <c r="B10" s="760">
        <v>556</v>
      </c>
      <c r="C10" s="760">
        <f>B10*57</f>
        <v>31692</v>
      </c>
      <c r="D10" s="760">
        <v>2219</v>
      </c>
      <c r="E10" s="760">
        <v>1404503</v>
      </c>
      <c r="F10" s="760">
        <v>843</v>
      </c>
      <c r="G10" s="760">
        <v>111398</v>
      </c>
      <c r="H10" s="761">
        <f>ت.صحيه1!B10+ت.صحيه1!D10+ت.صحيه1!F10+ت.صحيه1!H10+ت.صحيه1!J10+ت.صحيه2!B10+ت.صحيه2!D10+ت.صحيه2!F10+ت.صحيه3!B10+ت.صحيه3!D10+ت.صحيه3!F10</f>
        <v>202494</v>
      </c>
      <c r="I10" s="761">
        <f>ت.صحيه1!C10+ت.صحيه1!E10+ت.صحيه1!G10+ت.صحيه1!I10+ت.صحيه1!K10+ت.صحيه2!C10+ت.صحيه2!E10+ت.صحيه2!G10+ت.صحيه3!C10+ت.صحيه3!E10+ت.صحيه3!G10</f>
        <v>3765561</v>
      </c>
      <c r="J10" s="783" t="s">
        <v>31</v>
      </c>
      <c r="K10" s="595"/>
    </row>
    <row r="11" spans="1:11" s="313" customFormat="1" ht="15" customHeight="1" x14ac:dyDescent="0.25">
      <c r="A11" s="726" t="s">
        <v>3</v>
      </c>
      <c r="B11" s="722">
        <v>0</v>
      </c>
      <c r="C11" s="722">
        <v>0</v>
      </c>
      <c r="D11" s="722">
        <v>2918</v>
      </c>
      <c r="E11" s="722">
        <v>1679561</v>
      </c>
      <c r="F11" s="722">
        <v>884</v>
      </c>
      <c r="G11" s="722">
        <v>87851</v>
      </c>
      <c r="H11" s="723">
        <f>ت.صحيه1!B11+ت.صحيه1!D11+ت.صحيه1!F11+ت.صحيه1!H11+ت.صحيه1!J11+ت.صحيه2!B11+ت.صحيه2!D11+ت.صحيه2!F11+ت.صحيه3!B11+ت.صحيه3!D11+ت.صحيه3!F11</f>
        <v>214271</v>
      </c>
      <c r="I11" s="723">
        <f>ت.صحيه1!C11+ت.صحيه1!E11+ت.صحيه1!G11+ت.صحيه1!I11+ت.صحيه1!K11+ت.صحيه2!C11+ت.صحيه2!E11+ت.صحيه2!G11+ت.صحيه3!C11+ت.صحيه3!E11+ت.صحيه3!G11</f>
        <v>2485821</v>
      </c>
      <c r="J11" s="727" t="s">
        <v>15</v>
      </c>
      <c r="K11" s="595"/>
    </row>
    <row r="12" spans="1:11" s="313" customFormat="1" ht="15" customHeight="1" x14ac:dyDescent="0.25">
      <c r="A12" s="784" t="s">
        <v>365</v>
      </c>
      <c r="B12" s="760">
        <v>4</v>
      </c>
      <c r="C12" s="760">
        <v>560</v>
      </c>
      <c r="D12" s="760">
        <v>1314</v>
      </c>
      <c r="E12" s="760">
        <v>588686</v>
      </c>
      <c r="F12" s="760">
        <v>371</v>
      </c>
      <c r="G12" s="760">
        <v>64266</v>
      </c>
      <c r="H12" s="761">
        <f>ت.صحيه1!B12+ت.صحيه1!D12+ت.صحيه1!F12+ت.صحيه1!H12+ت.صحيه1!J12+ت.صحيه2!B12+ت.صحيه2!D12+ت.صحيه2!F12+ت.صحيه3!B12+ت.صحيه3!D12+ت.صحيه3!F12</f>
        <v>96255</v>
      </c>
      <c r="I12" s="761">
        <f>ت.صحيه1!C12+ت.صحيه1!E12+ت.صحيه1!G12+ت.صحيه1!I12+ت.صحيه1!K12+ت.صحيه2!C12+ت.صحيه2!E12+ت.صحيه2!G12+ت.صحيه3!C12+ت.صحيه3!E12+ت.صحيه3!G12</f>
        <v>1025754</v>
      </c>
      <c r="J12" s="783" t="s">
        <v>359</v>
      </c>
      <c r="K12" s="595"/>
    </row>
    <row r="13" spans="1:11" s="313" customFormat="1" ht="15" customHeight="1" x14ac:dyDescent="0.25">
      <c r="A13" s="726" t="s">
        <v>4</v>
      </c>
      <c r="B13" s="722">
        <v>4292</v>
      </c>
      <c r="C13" s="722">
        <v>40212</v>
      </c>
      <c r="D13" s="722">
        <v>14357</v>
      </c>
      <c r="E13" s="722">
        <v>11295128</v>
      </c>
      <c r="F13" s="722">
        <v>4993</v>
      </c>
      <c r="G13" s="722">
        <v>765127</v>
      </c>
      <c r="H13" s="723">
        <f>ت.صحيه1!B13+ت.صحيه1!D13+ت.صحيه1!F13+ت.صحيه1!H13+ت.صحيه1!J13+ت.صحيه2!B13+ت.صحيه2!D13+ت.صحيه2!F13+ت.صحيه3!B13+ت.صحيه3!D13+ت.صحيه3!F13</f>
        <v>1278196</v>
      </c>
      <c r="I13" s="723">
        <f>ت.صحيه1!C13+ت.صحيه1!E13+ت.صحيه1!G13+ت.صحيه1!I13+ت.صحيه1!K13+ت.صحيه2!C13+ت.صحيه2!E13+ت.صحيه2!G13+ت.صحيه3!C13+ت.صحيه3!E13+ت.صحيه3!G13</f>
        <v>18648947</v>
      </c>
      <c r="J13" s="727" t="s">
        <v>16</v>
      </c>
      <c r="K13" s="595"/>
    </row>
    <row r="14" spans="1:11" s="313" customFormat="1" ht="15" customHeight="1" x14ac:dyDescent="0.25">
      <c r="A14" s="782" t="s">
        <v>5</v>
      </c>
      <c r="B14" s="760">
        <v>714</v>
      </c>
      <c r="C14" s="760">
        <f>B14*57</f>
        <v>40698</v>
      </c>
      <c r="D14" s="760">
        <v>2451</v>
      </c>
      <c r="E14" s="760">
        <v>1385045</v>
      </c>
      <c r="F14" s="760">
        <v>781</v>
      </c>
      <c r="G14" s="760">
        <v>118502</v>
      </c>
      <c r="H14" s="761">
        <f>ت.صحيه1!B14+ت.صحيه1!D14+ت.صحيه1!F14+ت.صحيه1!H14+ت.صحيه1!J14+ت.صحيه2!B14+ت.صحيه2!D14+ت.صحيه2!F14+ت.صحيه3!B14+ت.صحيه3!D14+ت.صحيه3!F14</f>
        <v>205136</v>
      </c>
      <c r="I14" s="761">
        <f>ت.صحيه1!C14+ت.صحيه1!E14+ت.صحيه1!G14+ت.صحيه1!I14+ت.صحيه1!K14+ت.صحيه2!C14+ت.صحيه2!E14+ت.صحيه2!G14+ت.صحيه3!C14+ت.صحيه3!E14+ت.صحيه3!G14</f>
        <v>2319275</v>
      </c>
      <c r="J14" s="783" t="s">
        <v>23</v>
      </c>
      <c r="K14" s="595"/>
    </row>
    <row r="15" spans="1:11" s="313" customFormat="1" ht="15" customHeight="1" x14ac:dyDescent="0.25">
      <c r="A15" s="726" t="s">
        <v>6</v>
      </c>
      <c r="B15" s="722">
        <v>0</v>
      </c>
      <c r="C15" s="722">
        <v>0</v>
      </c>
      <c r="D15" s="722">
        <v>1571</v>
      </c>
      <c r="E15" s="722">
        <f>D15*578</f>
        <v>908038</v>
      </c>
      <c r="F15" s="722">
        <v>737</v>
      </c>
      <c r="G15" s="722">
        <v>119022</v>
      </c>
      <c r="H15" s="723">
        <f>ت.صحيه1!B15+ت.صحيه1!D15+ت.صحيه1!F15+ت.صحيه1!H15+ت.صحيه1!J15+ت.صحيه2!B15+ت.صحيه2!D15+ت.صحيه2!F15+ت.صحيه3!B15+ت.صحيه3!D15+ت.صحيه3!F15</f>
        <v>126162</v>
      </c>
      <c r="I15" s="723">
        <f>ت.صحيه1!C15+ت.صحيه1!E15+ت.صحيه1!G15+ت.صحيه1!I15+ت.صحيه1!K15+ت.صحيه2!C15+ت.صحيه2!E15+ت.صحيه2!G15+ت.صحيه3!C15+ت.صحيه3!E15+ت.صحيه3!G15</f>
        <v>1307276</v>
      </c>
      <c r="J15" s="727" t="s">
        <v>24</v>
      </c>
      <c r="K15" s="595"/>
    </row>
    <row r="16" spans="1:11" s="313" customFormat="1" ht="15" customHeight="1" x14ac:dyDescent="0.25">
      <c r="A16" s="782" t="s">
        <v>11</v>
      </c>
      <c r="B16" s="760">
        <v>172</v>
      </c>
      <c r="C16" s="760">
        <f>B16*45</f>
        <v>7740</v>
      </c>
      <c r="D16" s="760">
        <v>1434</v>
      </c>
      <c r="E16" s="760">
        <f>D16*578</f>
        <v>828852</v>
      </c>
      <c r="F16" s="760">
        <v>475</v>
      </c>
      <c r="G16" s="760">
        <v>78064</v>
      </c>
      <c r="H16" s="761">
        <f>ت.صحيه1!B16+ت.صحيه1!D16+ت.صحيه1!F16+ت.صحيه1!H16+ت.صحيه1!J16+ت.صحيه2!B16+ت.صحيه2!D16+ت.صحيه2!F16+ت.صحيه3!B16+ت.صحيه3!D16+ت.صحيه3!F16</f>
        <v>115614</v>
      </c>
      <c r="I16" s="761">
        <f>ت.صحيه1!C16+ت.صحيه1!E16+ت.صحيه1!G16+ت.صحيه1!I16+ت.صحيه1!K16+ت.صحيه2!C16+ت.صحيه2!E16+ت.صحيه2!G16+ت.صحيه3!C16+ت.صحيه3!E16+ت.صحيه3!G16</f>
        <v>1134011</v>
      </c>
      <c r="J16" s="783" t="s">
        <v>21</v>
      </c>
      <c r="K16" s="595"/>
    </row>
    <row r="17" spans="1:12" s="313" customFormat="1" ht="15" customHeight="1" x14ac:dyDescent="0.25">
      <c r="A17" s="726" t="s">
        <v>2</v>
      </c>
      <c r="B17" s="722">
        <v>228</v>
      </c>
      <c r="C17" s="722">
        <f>B17*40</f>
        <v>9120</v>
      </c>
      <c r="D17" s="722">
        <v>1196</v>
      </c>
      <c r="E17" s="722">
        <v>540002</v>
      </c>
      <c r="F17" s="722">
        <v>646</v>
      </c>
      <c r="G17" s="722">
        <v>75528</v>
      </c>
      <c r="H17" s="723">
        <f>ت.صحيه1!B17+ت.صحيه1!D17+ت.صحيه1!F17+ت.صحيه1!H17+ت.صحيه1!J17+ت.صحيه2!B17+ت.صحيه2!D17+ت.صحيه2!F17+ت.صحيه3!B17+ت.صحيه3!D17+ت.صحيه3!F17</f>
        <v>128576</v>
      </c>
      <c r="I17" s="723">
        <f>ت.صحيه1!C17+ت.صحيه1!E17+ت.صحيه1!G17+ت.صحيه1!I17+ت.صحيه1!K17+ت.صحيه2!C17+ت.صحيه2!E17+ت.صحيه2!G17+ت.صحيه3!C17+ت.صحيه3!E17+ت.صحيه3!G17</f>
        <v>1189663</v>
      </c>
      <c r="J17" s="727" t="s">
        <v>14</v>
      </c>
      <c r="K17" s="595"/>
    </row>
    <row r="18" spans="1:12" s="313" customFormat="1" ht="15" customHeight="1" x14ac:dyDescent="0.25">
      <c r="A18" s="782" t="s">
        <v>7</v>
      </c>
      <c r="B18" s="760">
        <v>157</v>
      </c>
      <c r="C18" s="760">
        <f>B18*71</f>
        <v>11147</v>
      </c>
      <c r="D18" s="760">
        <v>3132</v>
      </c>
      <c r="E18" s="760">
        <f>D18*578</f>
        <v>1810296</v>
      </c>
      <c r="F18" s="760">
        <v>1155</v>
      </c>
      <c r="G18" s="760">
        <v>129586</v>
      </c>
      <c r="H18" s="761">
        <f>ت.صحيه1!B18+ت.صحيه1!D18+ت.صحيه1!F18+ت.صحيه1!H18+ت.صحيه1!J18+ت.صحيه2!B18+ت.صحيه2!D18+ت.صحيه2!F18+ت.صحيه3!B18+ت.صحيه3!D18+ت.صحيه3!F18</f>
        <v>185532</v>
      </c>
      <c r="I18" s="761">
        <f>ت.صحيه1!C18+ت.صحيه1!E18+ت.صحيه1!G18+ت.صحيه1!I18+ت.صحيه1!K18+ت.صحيه2!C18+ت.صحيه2!E18+ت.صحيه2!G18+ت.صحيه3!C18+ت.صحيه3!E18+ت.صحيه3!G18</f>
        <v>3055960</v>
      </c>
      <c r="J18" s="783" t="s">
        <v>17</v>
      </c>
      <c r="K18" s="595"/>
    </row>
    <row r="19" spans="1:12" s="313" customFormat="1" ht="15" customHeight="1" x14ac:dyDescent="0.25">
      <c r="A19" s="726" t="s">
        <v>8</v>
      </c>
      <c r="B19" s="722">
        <v>0</v>
      </c>
      <c r="C19" s="722">
        <v>0</v>
      </c>
      <c r="D19" s="722">
        <v>2363</v>
      </c>
      <c r="E19" s="722">
        <v>735077</v>
      </c>
      <c r="F19" s="722">
        <v>701</v>
      </c>
      <c r="G19" s="722">
        <v>94254</v>
      </c>
      <c r="H19" s="723">
        <f>ت.صحيه1!B19+ت.صحيه1!D19+ت.صحيه1!F19+ت.صحيه1!H19+ت.صحيه1!J19+ت.صحيه2!B19+ت.صحيه2!D19+ت.صحيه2!F19+ت.صحيه3!B19+ت.صحيه3!D19+ت.صحيه3!F19</f>
        <v>169941</v>
      </c>
      <c r="I19" s="723">
        <f>ت.صحيه1!C19+ت.صحيه1!E19+ت.صحيه1!G19+ت.صحيه1!I19+ت.صحيه1!K19+ت.صحيه2!C19+ت.صحيه2!E19+ت.صحيه2!G19+ت.صحيه3!C19+ت.صحيه3!E19+ت.صحيه3!G19</f>
        <v>2166698</v>
      </c>
      <c r="J19" s="727" t="s">
        <v>18</v>
      </c>
      <c r="K19" s="595"/>
    </row>
    <row r="20" spans="1:12" s="313" customFormat="1" ht="15" customHeight="1" x14ac:dyDescent="0.25">
      <c r="A20" s="782" t="s">
        <v>9</v>
      </c>
      <c r="B20" s="760">
        <v>65</v>
      </c>
      <c r="C20" s="760">
        <f>B20*50</f>
        <v>3250</v>
      </c>
      <c r="D20" s="760">
        <v>1741</v>
      </c>
      <c r="E20" s="760">
        <v>1080268</v>
      </c>
      <c r="F20" s="760">
        <v>360</v>
      </c>
      <c r="G20" s="760">
        <v>70344</v>
      </c>
      <c r="H20" s="761">
        <f>ت.صحيه1!B20+ت.صحيه1!D20+ت.صحيه1!F20+ت.صحيه1!H20+ت.صحيه1!J20+ت.صحيه2!B20+ت.صحيه2!D20+ت.صحيه2!F20+ت.صحيه3!B20+ت.صحيه3!D20+ت.صحيه3!F20</f>
        <v>127046</v>
      </c>
      <c r="I20" s="761">
        <f>ت.صحيه1!C20+ت.صحيه1!E20+ت.صحيه1!G20+ت.صحيه1!I20+ت.صحيه1!K20+ت.صحيه2!C20+ت.صحيه2!E20+ت.صحيه2!G20+ت.صحيه3!C20+ت.صحيه3!E20+ت.صحيه3!G20</f>
        <v>1543370</v>
      </c>
      <c r="J20" s="783" t="s">
        <v>19</v>
      </c>
      <c r="K20" s="595"/>
    </row>
    <row r="21" spans="1:12" s="313" customFormat="1" ht="15" customHeight="1" x14ac:dyDescent="0.25">
      <c r="A21" s="726" t="s">
        <v>10</v>
      </c>
      <c r="B21" s="722">
        <v>120</v>
      </c>
      <c r="C21" s="722">
        <f>B21*51</f>
        <v>6120</v>
      </c>
      <c r="D21" s="722">
        <v>2407</v>
      </c>
      <c r="E21" s="722">
        <f>D21*578</f>
        <v>1391246</v>
      </c>
      <c r="F21" s="722">
        <v>748</v>
      </c>
      <c r="G21" s="722">
        <v>127275</v>
      </c>
      <c r="H21" s="723">
        <f>ت.صحيه1!B21+ت.صحيه1!D21+ت.صحيه1!F21+ت.صحيه1!H21+ت.صحيه1!J21+ت.صحيه2!B21+ت.صحيه2!D21+ت.صحيه2!F21+ت.صحيه3!B21+ت.صحيه3!D21+ت.صحيه3!F21</f>
        <v>125174</v>
      </c>
      <c r="I21" s="723">
        <f>ت.صحيه1!C21+ت.صحيه1!E21+ت.صحيه1!G21+ت.صحيه1!I21+ت.صحيه1!K21+ت.صحيه2!C21+ت.صحيه2!E21+ت.صحيه2!G21+ت.صحيه3!C21+ت.صحيه3!E21+ت.صحيه3!G21</f>
        <v>3248933</v>
      </c>
      <c r="J21" s="727" t="s">
        <v>20</v>
      </c>
      <c r="K21" s="595"/>
    </row>
    <row r="22" spans="1:12" s="313" customFormat="1" ht="15" customHeight="1" x14ac:dyDescent="0.25">
      <c r="A22" s="782" t="s">
        <v>12</v>
      </c>
      <c r="B22" s="760">
        <v>22</v>
      </c>
      <c r="C22" s="760">
        <f>B22*51</f>
        <v>1122</v>
      </c>
      <c r="D22" s="760">
        <v>729</v>
      </c>
      <c r="E22" s="760">
        <f>D22*578</f>
        <v>421362</v>
      </c>
      <c r="F22" s="760">
        <v>214</v>
      </c>
      <c r="G22" s="760">
        <v>32164</v>
      </c>
      <c r="H22" s="761">
        <f>ت.صحيه1!B22+ت.صحيه1!D22+ت.صحيه1!F22+ت.صحيه1!H22+ت.صحيه1!J22+ت.صحيه2!B22+ت.صحيه2!D22+ت.صحيه2!F22+ت.صحيه3!B22+ت.صحيه3!D22+ت.صحيه3!F22</f>
        <v>35272</v>
      </c>
      <c r="I22" s="761">
        <f>ت.صحيه1!C22+ت.صحيه1!E22+ت.صحيه1!G22+ت.صحيه1!I22+ت.صحيه1!K22+ت.صحيه2!C22+ت.صحيه2!E22+ت.صحيه2!G22+ت.صحيه3!C22+ت.صحيه3!E22+ت.صحيه3!G22</f>
        <v>674162</v>
      </c>
      <c r="J22" s="783" t="s">
        <v>25</v>
      </c>
      <c r="K22" s="595"/>
    </row>
    <row r="23" spans="1:12" s="560" customFormat="1" ht="15" customHeight="1" thickBot="1" x14ac:dyDescent="0.3">
      <c r="A23" s="734" t="s">
        <v>13</v>
      </c>
      <c r="B23" s="735">
        <v>645</v>
      </c>
      <c r="C23" s="735">
        <v>111</v>
      </c>
      <c r="D23" s="735">
        <v>3400</v>
      </c>
      <c r="E23" s="735">
        <f>D23*578</f>
        <v>1965200</v>
      </c>
      <c r="F23" s="735">
        <v>1094</v>
      </c>
      <c r="G23" s="735">
        <v>201387</v>
      </c>
      <c r="H23" s="723">
        <f>ت.صحيه1!B23+ت.صحيه1!D23+ت.صحيه1!F23+ت.صحيه1!H23+ت.صحيه1!J23+ت.صحيه2!B23+ت.صحيه2!D23+ت.صحيه2!F23+ت.صحيه3!B23+ت.صحيه3!D23+ت.صحيه3!F23</f>
        <v>199301</v>
      </c>
      <c r="I23" s="723">
        <f>ت.صحيه1!C23+ت.صحيه1!E23+ت.صحيه1!G23+ت.صحيه1!I23+ت.صحيه1!K23+ت.صحيه2!C23+ت.صحيه2!E23+ت.صحيه2!G23+ت.صحيه3!C23+ت.صحيه3!E23+ت.صحيه3!G23</f>
        <v>3184084</v>
      </c>
      <c r="J23" s="736" t="s">
        <v>22</v>
      </c>
      <c r="K23" s="609"/>
    </row>
    <row r="24" spans="1:12" s="537" customFormat="1" ht="19.5" customHeight="1" thickBot="1" x14ac:dyDescent="0.25">
      <c r="A24" s="610" t="s">
        <v>0</v>
      </c>
      <c r="B24" s="600">
        <f t="shared" ref="B24:G24" si="0">SUM(B9:B23)</f>
        <v>7153</v>
      </c>
      <c r="C24" s="600">
        <f t="shared" si="0"/>
        <v>164020</v>
      </c>
      <c r="D24" s="600">
        <f t="shared" si="0"/>
        <v>42034</v>
      </c>
      <c r="E24" s="600">
        <f t="shared" si="0"/>
        <v>26665504</v>
      </c>
      <c r="F24" s="600">
        <f t="shared" si="0"/>
        <v>14274</v>
      </c>
      <c r="G24" s="600">
        <f t="shared" si="0"/>
        <v>2116513</v>
      </c>
      <c r="H24" s="611">
        <f>SUM(H9:H23)</f>
        <v>3259926</v>
      </c>
      <c r="I24" s="611">
        <f>SUM(I9:I23)</f>
        <v>46787291</v>
      </c>
      <c r="J24" s="612" t="s">
        <v>1</v>
      </c>
    </row>
    <row r="25" spans="1:12" s="7" customFormat="1" ht="19.5" customHeight="1" x14ac:dyDescent="0.2">
      <c r="A25" s="889"/>
      <c r="B25" s="889"/>
      <c r="C25" s="889"/>
      <c r="D25" s="889"/>
      <c r="E25" s="889"/>
      <c r="F25" s="889"/>
      <c r="G25" s="889"/>
      <c r="H25" s="290"/>
      <c r="I25" s="211"/>
      <c r="J25" s="214"/>
    </row>
    <row r="26" spans="1:12" ht="14.25" x14ac:dyDescent="0.2">
      <c r="C26" s="7"/>
      <c r="D26" s="7"/>
      <c r="E26" s="7"/>
      <c r="F26" s="7"/>
      <c r="G26" s="7"/>
      <c r="I26" s="7"/>
      <c r="J26" s="197"/>
      <c r="K26" s="7"/>
    </row>
    <row r="27" spans="1:12" ht="15" customHeight="1" x14ac:dyDescent="0.25">
      <c r="A27" s="908"/>
      <c r="B27" s="908"/>
      <c r="C27" s="7"/>
      <c r="D27" s="7"/>
      <c r="E27" s="7"/>
      <c r="F27" s="7"/>
      <c r="G27" s="7"/>
      <c r="I27" s="7"/>
      <c r="J27" s="53"/>
      <c r="L27" s="53"/>
    </row>
  </sheetData>
  <mergeCells count="13">
    <mergeCell ref="I3:J3"/>
    <mergeCell ref="A27:B27"/>
    <mergeCell ref="A4:B4"/>
    <mergeCell ref="A1:J1"/>
    <mergeCell ref="A2:J2"/>
    <mergeCell ref="C4:D4"/>
    <mergeCell ref="F4:I4"/>
    <mergeCell ref="F6:G6"/>
    <mergeCell ref="D5:E5"/>
    <mergeCell ref="F5:G5"/>
    <mergeCell ref="D6:E6"/>
    <mergeCell ref="A25:G25"/>
    <mergeCell ref="H5:I5"/>
  </mergeCells>
  <phoneticPr fontId="3" type="noConversion"/>
  <printOptions horizontalCentered="1" verticalCentered="1"/>
  <pageMargins left="0.46" right="0.91" top="0" bottom="0.98425196850393704" header="0.78740157480314998" footer="0.511811023622047"/>
  <pageSetup orientation="landscape" verticalDpi="300" r:id="rId1"/>
  <headerFooter alignWithMargins="0">
    <oddFooter>&amp;C45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33"/>
  <sheetViews>
    <sheetView rightToLeft="1" zoomScaleSheetLayoutView="100" workbookViewId="0">
      <selection activeCell="I9" sqref="I9"/>
    </sheetView>
  </sheetViews>
  <sheetFormatPr defaultRowHeight="12.75" x14ac:dyDescent="0.2"/>
  <cols>
    <col min="1" max="1" width="9.140625" customWidth="1"/>
    <col min="2" max="2" width="10" customWidth="1"/>
    <col min="3" max="3" width="13" customWidth="1"/>
    <col min="4" max="4" width="11.5703125" customWidth="1"/>
    <col min="5" max="5" width="14.140625" customWidth="1"/>
    <col min="6" max="6" width="10.42578125" customWidth="1"/>
    <col min="7" max="7" width="11" customWidth="1"/>
    <col min="8" max="9" width="11.5703125" style="7" customWidth="1"/>
    <col min="10" max="10" width="18.5703125" customWidth="1"/>
    <col min="11" max="11" width="0.28515625" hidden="1" customWidth="1"/>
    <col min="12" max="12" width="10" bestFit="1" customWidth="1"/>
  </cols>
  <sheetData>
    <row r="1" spans="1:10" ht="15" x14ac:dyDescent="0.2">
      <c r="A1" s="850" t="s">
        <v>482</v>
      </c>
      <c r="B1" s="850"/>
      <c r="C1" s="850"/>
      <c r="D1" s="850"/>
      <c r="E1" s="850"/>
      <c r="F1" s="850"/>
      <c r="G1" s="850"/>
      <c r="H1" s="850"/>
      <c r="I1" s="850"/>
      <c r="J1" s="850"/>
    </row>
    <row r="2" spans="1:10" ht="14.25" customHeight="1" x14ac:dyDescent="0.2">
      <c r="A2" s="858" t="s">
        <v>473</v>
      </c>
      <c r="B2" s="858"/>
      <c r="C2" s="858"/>
      <c r="D2" s="858"/>
      <c r="E2" s="858"/>
      <c r="F2" s="858"/>
      <c r="G2" s="858"/>
      <c r="H2" s="858"/>
      <c r="I2" s="858"/>
      <c r="J2" s="858"/>
    </row>
    <row r="3" spans="1:10" s="7" customFormat="1" ht="14.25" customHeight="1" x14ac:dyDescent="0.25">
      <c r="A3" s="220"/>
      <c r="B3" s="220"/>
      <c r="C3" s="220"/>
      <c r="D3" s="220"/>
      <c r="E3" s="220"/>
      <c r="F3" s="220"/>
      <c r="G3" s="873" t="s">
        <v>215</v>
      </c>
      <c r="H3" s="873"/>
      <c r="I3" s="873"/>
      <c r="J3" s="873"/>
    </row>
    <row r="4" spans="1:10" ht="15" customHeight="1" thickBot="1" x14ac:dyDescent="0.3">
      <c r="A4" s="681" t="s">
        <v>417</v>
      </c>
      <c r="B4" s="19"/>
      <c r="C4" s="883" t="s">
        <v>178</v>
      </c>
      <c r="D4" s="883"/>
      <c r="E4" s="883"/>
      <c r="F4" s="883"/>
      <c r="G4" s="883"/>
      <c r="H4" s="679"/>
      <c r="I4" s="679"/>
      <c r="J4" s="241" t="s">
        <v>341</v>
      </c>
    </row>
    <row r="5" spans="1:10" ht="15" customHeight="1" x14ac:dyDescent="0.2">
      <c r="A5" s="117"/>
      <c r="B5" s="886" t="s">
        <v>72</v>
      </c>
      <c r="C5" s="886"/>
      <c r="D5" s="886" t="s">
        <v>73</v>
      </c>
      <c r="E5" s="886"/>
      <c r="F5" s="886" t="s">
        <v>190</v>
      </c>
      <c r="G5" s="886"/>
      <c r="H5" s="160" t="s">
        <v>502</v>
      </c>
      <c r="I5" s="680"/>
      <c r="J5" s="37"/>
    </row>
    <row r="6" spans="1:10" ht="15" customHeight="1" x14ac:dyDescent="0.2">
      <c r="A6" s="33"/>
      <c r="B6" s="858" t="s">
        <v>290</v>
      </c>
      <c r="C6" s="858"/>
      <c r="D6" s="858" t="s">
        <v>171</v>
      </c>
      <c r="E6" s="858"/>
      <c r="F6" s="858" t="s">
        <v>291</v>
      </c>
      <c r="G6" s="858"/>
      <c r="H6" s="677"/>
      <c r="I6" s="677"/>
      <c r="J6" s="40"/>
    </row>
    <row r="7" spans="1:10" ht="15" customHeight="1" x14ac:dyDescent="0.2">
      <c r="A7" s="53"/>
      <c r="B7" s="353" t="s">
        <v>36</v>
      </c>
      <c r="C7" s="353" t="s">
        <v>238</v>
      </c>
      <c r="D7" s="353" t="s">
        <v>194</v>
      </c>
      <c r="E7" s="354" t="s">
        <v>241</v>
      </c>
      <c r="F7" s="352" t="s">
        <v>42</v>
      </c>
      <c r="G7" s="352" t="s">
        <v>238</v>
      </c>
      <c r="H7" s="683" t="s">
        <v>238</v>
      </c>
      <c r="I7" s="678"/>
      <c r="J7" s="40"/>
    </row>
    <row r="8" spans="1:10" ht="15" customHeight="1" thickBot="1" x14ac:dyDescent="0.25">
      <c r="A8" s="361" t="s">
        <v>54</v>
      </c>
      <c r="B8" s="448" t="s">
        <v>135</v>
      </c>
      <c r="C8" s="448" t="s">
        <v>29</v>
      </c>
      <c r="D8" s="448" t="s">
        <v>132</v>
      </c>
      <c r="E8" s="448" t="s">
        <v>29</v>
      </c>
      <c r="F8" s="448" t="s">
        <v>43</v>
      </c>
      <c r="G8" s="448" t="s">
        <v>191</v>
      </c>
      <c r="H8" s="448" t="s">
        <v>130</v>
      </c>
      <c r="I8" s="448" t="s">
        <v>86</v>
      </c>
      <c r="J8" s="61" t="s">
        <v>26</v>
      </c>
    </row>
    <row r="9" spans="1:10" s="313" customFormat="1" ht="15" customHeight="1" thickTop="1" x14ac:dyDescent="0.2">
      <c r="A9" s="741" t="s">
        <v>380</v>
      </c>
      <c r="B9" s="722">
        <v>20</v>
      </c>
      <c r="C9" s="722">
        <v>10147</v>
      </c>
      <c r="D9" s="723">
        <v>45338</v>
      </c>
      <c r="E9" s="723">
        <v>729122</v>
      </c>
      <c r="F9" s="722">
        <v>5004</v>
      </c>
      <c r="G9" s="722">
        <f>F9*18</f>
        <v>90072</v>
      </c>
      <c r="H9" s="722">
        <v>5639</v>
      </c>
      <c r="I9" s="722">
        <v>36624</v>
      </c>
      <c r="J9" s="739" t="s">
        <v>381</v>
      </c>
    </row>
    <row r="10" spans="1:10" s="313" customFormat="1" ht="15" customHeight="1" x14ac:dyDescent="0.2">
      <c r="A10" s="759" t="s">
        <v>30</v>
      </c>
      <c r="B10" s="760">
        <v>0</v>
      </c>
      <c r="C10" s="760">
        <v>0</v>
      </c>
      <c r="D10" s="761">
        <v>158946</v>
      </c>
      <c r="E10" s="761">
        <v>1753789</v>
      </c>
      <c r="F10" s="760">
        <v>10820</v>
      </c>
      <c r="G10" s="760">
        <f>F10*15</f>
        <v>162300</v>
      </c>
      <c r="H10" s="760">
        <v>5693</v>
      </c>
      <c r="I10" s="760">
        <f>H10*2</f>
        <v>11386</v>
      </c>
      <c r="J10" s="762" t="s">
        <v>31</v>
      </c>
    </row>
    <row r="11" spans="1:10" s="313" customFormat="1" ht="15" customHeight="1" x14ac:dyDescent="0.2">
      <c r="A11" s="744" t="s">
        <v>3</v>
      </c>
      <c r="B11" s="722">
        <v>8122</v>
      </c>
      <c r="C11" s="722">
        <v>2519793</v>
      </c>
      <c r="D11" s="723">
        <v>193743</v>
      </c>
      <c r="E11" s="723">
        <v>2845856</v>
      </c>
      <c r="F11" s="722">
        <v>327</v>
      </c>
      <c r="G11" s="722">
        <f>F11*29</f>
        <v>9483</v>
      </c>
      <c r="H11" s="722">
        <v>12818</v>
      </c>
      <c r="I11" s="722">
        <v>162</v>
      </c>
      <c r="J11" s="739" t="s">
        <v>15</v>
      </c>
    </row>
    <row r="12" spans="1:10" s="313" customFormat="1" ht="15" customHeight="1" x14ac:dyDescent="0.2">
      <c r="A12" s="759" t="s">
        <v>365</v>
      </c>
      <c r="B12" s="760">
        <v>560</v>
      </c>
      <c r="C12" s="760">
        <v>190883</v>
      </c>
      <c r="D12" s="761">
        <v>74917</v>
      </c>
      <c r="E12" s="761">
        <v>684641</v>
      </c>
      <c r="F12" s="760">
        <v>0</v>
      </c>
      <c r="G12" s="760">
        <f>F12*0</f>
        <v>0</v>
      </c>
      <c r="H12" s="760">
        <v>4951</v>
      </c>
      <c r="I12" s="760">
        <f>H12*3</f>
        <v>14853</v>
      </c>
      <c r="J12" s="762" t="s">
        <v>359</v>
      </c>
    </row>
    <row r="13" spans="1:10" s="313" customFormat="1" ht="15" customHeight="1" x14ac:dyDescent="0.2">
      <c r="A13" s="744" t="s">
        <v>4</v>
      </c>
      <c r="B13" s="722">
        <v>325421</v>
      </c>
      <c r="C13" s="722">
        <v>142486093</v>
      </c>
      <c r="D13" s="723">
        <v>1041639</v>
      </c>
      <c r="E13" s="723">
        <v>16692862</v>
      </c>
      <c r="F13" s="722">
        <v>186795</v>
      </c>
      <c r="G13" s="722">
        <f>F13*15</f>
        <v>2801925</v>
      </c>
      <c r="H13" s="722">
        <v>106277</v>
      </c>
      <c r="I13" s="722">
        <v>20371</v>
      </c>
      <c r="J13" s="739" t="s">
        <v>16</v>
      </c>
    </row>
    <row r="14" spans="1:10" s="313" customFormat="1" ht="15" customHeight="1" x14ac:dyDescent="0.2">
      <c r="A14" s="759" t="s">
        <v>5</v>
      </c>
      <c r="B14" s="760">
        <v>920</v>
      </c>
      <c r="C14" s="760">
        <v>348365</v>
      </c>
      <c r="D14" s="761">
        <v>160779</v>
      </c>
      <c r="E14" s="761">
        <v>1467440</v>
      </c>
      <c r="F14" s="760">
        <v>0</v>
      </c>
      <c r="G14" s="760">
        <f>F14*0</f>
        <v>0</v>
      </c>
      <c r="H14" s="760">
        <v>11225</v>
      </c>
      <c r="I14" s="760">
        <v>1690</v>
      </c>
      <c r="J14" s="762" t="s">
        <v>23</v>
      </c>
    </row>
    <row r="15" spans="1:10" s="313" customFormat="1" ht="15" customHeight="1" x14ac:dyDescent="0.2">
      <c r="A15" s="744" t="s">
        <v>6</v>
      </c>
      <c r="B15" s="722">
        <v>1235</v>
      </c>
      <c r="C15" s="722">
        <v>389062</v>
      </c>
      <c r="D15" s="723">
        <v>140036</v>
      </c>
      <c r="E15" s="723">
        <v>1451527</v>
      </c>
      <c r="F15" s="722">
        <v>0</v>
      </c>
      <c r="G15" s="722">
        <f>F15*0</f>
        <v>0</v>
      </c>
      <c r="H15" s="722">
        <v>4510</v>
      </c>
      <c r="I15" s="722">
        <v>113</v>
      </c>
      <c r="J15" s="739" t="s">
        <v>24</v>
      </c>
    </row>
    <row r="16" spans="1:10" s="313" customFormat="1" ht="15" customHeight="1" x14ac:dyDescent="0.2">
      <c r="A16" s="759" t="s">
        <v>11</v>
      </c>
      <c r="B16" s="760">
        <v>343</v>
      </c>
      <c r="C16" s="760">
        <v>136856</v>
      </c>
      <c r="D16" s="761">
        <v>66200</v>
      </c>
      <c r="E16" s="761">
        <v>602960</v>
      </c>
      <c r="F16" s="760">
        <v>3433</v>
      </c>
      <c r="G16" s="760">
        <f>F16*29</f>
        <v>99557</v>
      </c>
      <c r="H16" s="760">
        <v>7423</v>
      </c>
      <c r="I16" s="760">
        <v>1103</v>
      </c>
      <c r="J16" s="762" t="s">
        <v>21</v>
      </c>
    </row>
    <row r="17" spans="1:12" s="313" customFormat="1" ht="15.75" customHeight="1" x14ac:dyDescent="0.2">
      <c r="A17" s="744" t="s">
        <v>2</v>
      </c>
      <c r="B17" s="722">
        <v>13</v>
      </c>
      <c r="C17" s="722">
        <v>4284</v>
      </c>
      <c r="D17" s="723">
        <v>82516</v>
      </c>
      <c r="E17" s="723">
        <v>829336</v>
      </c>
      <c r="F17" s="722">
        <v>0</v>
      </c>
      <c r="G17" s="722">
        <f>F17*0</f>
        <v>0</v>
      </c>
      <c r="H17" s="722">
        <v>3850</v>
      </c>
      <c r="I17" s="722">
        <f>H17*3</f>
        <v>11550</v>
      </c>
      <c r="J17" s="739" t="s">
        <v>14</v>
      </c>
    </row>
    <row r="18" spans="1:12" s="313" customFormat="1" ht="15" customHeight="1" x14ac:dyDescent="0.2">
      <c r="A18" s="759" t="s">
        <v>7</v>
      </c>
      <c r="B18" s="760">
        <v>92</v>
      </c>
      <c r="C18" s="760">
        <v>45969</v>
      </c>
      <c r="D18" s="761">
        <v>328487</v>
      </c>
      <c r="E18" s="761">
        <v>3603337</v>
      </c>
      <c r="F18" s="760">
        <v>0</v>
      </c>
      <c r="G18" s="760">
        <f t="shared" ref="G18:G23" si="0">F18*0</f>
        <v>0</v>
      </c>
      <c r="H18" s="760">
        <v>26541</v>
      </c>
      <c r="I18" s="760">
        <f>H18*2</f>
        <v>53082</v>
      </c>
      <c r="J18" s="762" t="s">
        <v>17</v>
      </c>
    </row>
    <row r="19" spans="1:12" s="313" customFormat="1" ht="15" customHeight="1" x14ac:dyDescent="0.2">
      <c r="A19" s="744" t="s">
        <v>8</v>
      </c>
      <c r="B19" s="722">
        <v>31</v>
      </c>
      <c r="C19" s="722">
        <v>11515</v>
      </c>
      <c r="D19" s="723">
        <v>108947</v>
      </c>
      <c r="E19" s="723">
        <v>995540</v>
      </c>
      <c r="F19" s="722">
        <v>0</v>
      </c>
      <c r="G19" s="722">
        <f t="shared" si="0"/>
        <v>0</v>
      </c>
      <c r="H19" s="722">
        <v>5888</v>
      </c>
      <c r="I19" s="722">
        <v>101</v>
      </c>
      <c r="J19" s="739" t="s">
        <v>18</v>
      </c>
    </row>
    <row r="20" spans="1:12" s="313" customFormat="1" ht="15" customHeight="1" x14ac:dyDescent="0.2">
      <c r="A20" s="759" t="s">
        <v>9</v>
      </c>
      <c r="B20" s="760">
        <v>0</v>
      </c>
      <c r="C20" s="760">
        <v>0</v>
      </c>
      <c r="D20" s="761">
        <v>75293</v>
      </c>
      <c r="E20" s="761">
        <v>729312</v>
      </c>
      <c r="F20" s="760">
        <v>0</v>
      </c>
      <c r="G20" s="760">
        <f t="shared" si="0"/>
        <v>0</v>
      </c>
      <c r="H20" s="760">
        <v>7143</v>
      </c>
      <c r="I20" s="760">
        <f>H20*3</f>
        <v>21429</v>
      </c>
      <c r="J20" s="762" t="s">
        <v>19</v>
      </c>
    </row>
    <row r="21" spans="1:12" s="313" customFormat="1" ht="15" customHeight="1" x14ac:dyDescent="0.2">
      <c r="A21" s="744" t="s">
        <v>10</v>
      </c>
      <c r="B21" s="722">
        <v>0</v>
      </c>
      <c r="C21" s="722">
        <v>0</v>
      </c>
      <c r="D21" s="723">
        <v>184987</v>
      </c>
      <c r="E21" s="723">
        <v>1830665</v>
      </c>
      <c r="F21" s="722">
        <v>0</v>
      </c>
      <c r="G21" s="722">
        <f t="shared" si="0"/>
        <v>0</v>
      </c>
      <c r="H21" s="722">
        <v>14071</v>
      </c>
      <c r="I21" s="722">
        <f>H21*2</f>
        <v>28142</v>
      </c>
      <c r="J21" s="739" t="s">
        <v>20</v>
      </c>
    </row>
    <row r="22" spans="1:12" s="313" customFormat="1" ht="15" customHeight="1" x14ac:dyDescent="0.2">
      <c r="A22" s="759" t="s">
        <v>12</v>
      </c>
      <c r="B22" s="760">
        <v>15</v>
      </c>
      <c r="C22" s="760">
        <v>6950</v>
      </c>
      <c r="D22" s="761">
        <v>27478</v>
      </c>
      <c r="E22" s="761">
        <v>280314</v>
      </c>
      <c r="F22" s="760">
        <v>0</v>
      </c>
      <c r="G22" s="760">
        <f t="shared" si="0"/>
        <v>0</v>
      </c>
      <c r="H22" s="760">
        <v>2112</v>
      </c>
      <c r="I22" s="760">
        <v>6992</v>
      </c>
      <c r="J22" s="762" t="s">
        <v>25</v>
      </c>
    </row>
    <row r="23" spans="1:12" s="313" customFormat="1" ht="15" customHeight="1" thickBot="1" x14ac:dyDescent="0.25">
      <c r="A23" s="744" t="s">
        <v>13</v>
      </c>
      <c r="B23" s="722">
        <v>0</v>
      </c>
      <c r="C23" s="722">
        <v>0</v>
      </c>
      <c r="D23" s="723">
        <v>283882</v>
      </c>
      <c r="E23" s="723">
        <v>4238414</v>
      </c>
      <c r="F23" s="722">
        <v>0</v>
      </c>
      <c r="G23" s="722">
        <f t="shared" si="0"/>
        <v>0</v>
      </c>
      <c r="H23" s="722">
        <v>20904</v>
      </c>
      <c r="I23" s="722">
        <v>5351</v>
      </c>
      <c r="J23" s="739" t="s">
        <v>22</v>
      </c>
    </row>
    <row r="24" spans="1:12" s="313" customFormat="1" ht="24" customHeight="1" thickBot="1" x14ac:dyDescent="0.25">
      <c r="A24" s="610" t="s">
        <v>0</v>
      </c>
      <c r="B24" s="606">
        <f t="shared" ref="B24:G24" si="1">SUM(B9:B23)</f>
        <v>336772</v>
      </c>
      <c r="C24" s="606">
        <f t="shared" si="1"/>
        <v>146149917</v>
      </c>
      <c r="D24" s="606">
        <f t="shared" si="1"/>
        <v>2973188</v>
      </c>
      <c r="E24" s="606">
        <f t="shared" si="1"/>
        <v>38735115</v>
      </c>
      <c r="F24" s="619">
        <f t="shared" si="1"/>
        <v>206379</v>
      </c>
      <c r="G24" s="619">
        <f t="shared" si="1"/>
        <v>3163337</v>
      </c>
      <c r="H24" s="619">
        <f>SUM(H9:H23)</f>
        <v>239045</v>
      </c>
      <c r="I24" s="619">
        <f>SUM(I9:I23)</f>
        <v>212949</v>
      </c>
      <c r="J24" s="216" t="s">
        <v>1</v>
      </c>
    </row>
    <row r="25" spans="1:12" s="7" customFormat="1" ht="16.5" customHeight="1" x14ac:dyDescent="0.2">
      <c r="A25" s="889"/>
      <c r="B25" s="889"/>
      <c r="C25" s="889"/>
      <c r="D25" s="889"/>
      <c r="E25" s="84"/>
      <c r="F25" s="84"/>
      <c r="G25" s="84"/>
      <c r="H25" s="84"/>
      <c r="I25" s="84"/>
      <c r="J25" s="213"/>
    </row>
    <row r="26" spans="1:12" ht="14.25" x14ac:dyDescent="0.2">
      <c r="B26" s="7"/>
      <c r="C26" s="7"/>
      <c r="D26" s="7"/>
      <c r="E26" s="7"/>
      <c r="J26" s="197"/>
      <c r="L26" s="7"/>
    </row>
    <row r="27" spans="1:12" ht="15" x14ac:dyDescent="0.25">
      <c r="A27" s="682"/>
      <c r="B27" s="7"/>
      <c r="C27" s="7"/>
      <c r="D27" s="7"/>
      <c r="E27" s="7"/>
      <c r="G27" s="909"/>
      <c r="H27" s="909"/>
      <c r="I27" s="909"/>
      <c r="J27" s="909"/>
      <c r="L27" s="7"/>
    </row>
    <row r="28" spans="1:12" x14ac:dyDescent="0.2">
      <c r="L28" s="7"/>
    </row>
    <row r="29" spans="1:12" x14ac:dyDescent="0.2">
      <c r="L29" s="7"/>
    </row>
    <row r="30" spans="1:12" x14ac:dyDescent="0.2">
      <c r="L30" s="7"/>
    </row>
    <row r="31" spans="1:12" x14ac:dyDescent="0.2">
      <c r="L31" s="7"/>
    </row>
    <row r="32" spans="1:12" x14ac:dyDescent="0.2">
      <c r="L32" s="7"/>
    </row>
    <row r="33" spans="12:12" x14ac:dyDescent="0.2">
      <c r="L33" s="7"/>
    </row>
  </sheetData>
  <mergeCells count="12">
    <mergeCell ref="A1:J1"/>
    <mergeCell ref="A2:J2"/>
    <mergeCell ref="C4:G4"/>
    <mergeCell ref="G3:J3"/>
    <mergeCell ref="G27:J27"/>
    <mergeCell ref="A25:D25"/>
    <mergeCell ref="B5:C5"/>
    <mergeCell ref="B6:C6"/>
    <mergeCell ref="D5:E5"/>
    <mergeCell ref="D6:E6"/>
    <mergeCell ref="F5:G5"/>
    <mergeCell ref="F6:G6"/>
  </mergeCells>
  <phoneticPr fontId="3" type="noConversion"/>
  <printOptions horizontalCentered="1" verticalCentered="1"/>
  <pageMargins left="0.31" right="0.35" top="0.78" bottom="0.98425196850393704" header="0.83" footer="0.511811023622047"/>
  <pageSetup scale="99" orientation="landscape" verticalDpi="300" r:id="rId1"/>
  <headerFooter alignWithMargins="0">
    <oddFooter>&amp;C46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27"/>
  <sheetViews>
    <sheetView rightToLeft="1" zoomScale="87" zoomScaleNormal="87" zoomScaleSheetLayoutView="100" workbookViewId="0">
      <selection activeCell="C9" sqref="C9"/>
    </sheetView>
  </sheetViews>
  <sheetFormatPr defaultRowHeight="12.75" x14ac:dyDescent="0.2"/>
  <cols>
    <col min="1" max="1" width="8.85546875" customWidth="1"/>
    <col min="2" max="2" width="11.5703125" customWidth="1"/>
    <col min="3" max="3" width="13.28515625" customWidth="1"/>
    <col min="4" max="4" width="11.7109375" customWidth="1"/>
    <col min="5" max="5" width="11.42578125" customWidth="1"/>
    <col min="6" max="6" width="11.7109375" customWidth="1"/>
    <col min="7" max="7" width="10.85546875" customWidth="1"/>
    <col min="8" max="8" width="10" customWidth="1"/>
    <col min="9" max="9" width="11.85546875" customWidth="1"/>
    <col min="10" max="10" width="12.28515625" customWidth="1"/>
    <col min="11" max="11" width="16" customWidth="1"/>
    <col min="12" max="12" width="18.140625" customWidth="1"/>
    <col min="13" max="13" width="0.140625" hidden="1" customWidth="1"/>
    <col min="14" max="16" width="9.140625" hidden="1" customWidth="1"/>
  </cols>
  <sheetData>
    <row r="1" spans="1:12" ht="16.5" customHeight="1" x14ac:dyDescent="0.2">
      <c r="A1" s="850" t="s">
        <v>482</v>
      </c>
      <c r="B1" s="850"/>
      <c r="C1" s="850"/>
      <c r="D1" s="850"/>
      <c r="E1" s="850"/>
      <c r="F1" s="850"/>
      <c r="G1" s="850"/>
      <c r="H1" s="850"/>
      <c r="I1" s="850"/>
      <c r="J1" s="850"/>
      <c r="K1" s="850"/>
      <c r="L1" s="850"/>
    </row>
    <row r="2" spans="1:12" ht="22.5" customHeight="1" x14ac:dyDescent="0.2">
      <c r="A2" s="852" t="s">
        <v>473</v>
      </c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</row>
    <row r="3" spans="1:12" s="7" customFormat="1" ht="22.5" customHeight="1" x14ac:dyDescent="0.25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873" t="s">
        <v>215</v>
      </c>
      <c r="L3" s="873"/>
    </row>
    <row r="4" spans="1:12" ht="15" customHeight="1" thickBot="1" x14ac:dyDescent="0.3">
      <c r="A4" s="903" t="s">
        <v>423</v>
      </c>
      <c r="B4" s="903"/>
      <c r="C4" s="903"/>
      <c r="D4" s="903"/>
      <c r="E4" s="25"/>
      <c r="F4" s="25"/>
      <c r="G4" s="875" t="s">
        <v>277</v>
      </c>
      <c r="H4" s="875"/>
      <c r="I4" s="875"/>
      <c r="J4" s="875"/>
      <c r="K4" s="875"/>
      <c r="L4" s="875"/>
    </row>
    <row r="5" spans="1:12" ht="15" customHeight="1" x14ac:dyDescent="0.25">
      <c r="A5" s="32"/>
      <c r="B5" s="886" t="s">
        <v>69</v>
      </c>
      <c r="C5" s="886"/>
      <c r="D5" s="886" t="s">
        <v>70</v>
      </c>
      <c r="E5" s="886"/>
      <c r="F5" s="886" t="s">
        <v>71</v>
      </c>
      <c r="G5" s="886"/>
      <c r="H5" s="886" t="s">
        <v>203</v>
      </c>
      <c r="I5" s="886"/>
      <c r="J5" s="950" t="s">
        <v>192</v>
      </c>
      <c r="K5" s="950"/>
      <c r="L5" s="32"/>
    </row>
    <row r="6" spans="1:12" s="7" customFormat="1" ht="31.5" customHeight="1" x14ac:dyDescent="0.2">
      <c r="A6" s="32"/>
      <c r="B6" s="850" t="s">
        <v>265</v>
      </c>
      <c r="C6" s="850"/>
      <c r="D6" s="850" t="s">
        <v>292</v>
      </c>
      <c r="E6" s="850"/>
      <c r="F6" s="850" t="s">
        <v>313</v>
      </c>
      <c r="G6" s="850"/>
      <c r="H6" s="850" t="s">
        <v>293</v>
      </c>
      <c r="I6" s="850"/>
      <c r="J6" s="951" t="s">
        <v>258</v>
      </c>
      <c r="K6" s="951"/>
      <c r="L6" s="32"/>
    </row>
    <row r="7" spans="1:12" ht="19.5" customHeight="1" x14ac:dyDescent="0.2">
      <c r="A7" s="53"/>
      <c r="B7" s="354" t="s">
        <v>247</v>
      </c>
      <c r="C7" s="55" t="s">
        <v>238</v>
      </c>
      <c r="D7" s="55" t="s">
        <v>68</v>
      </c>
      <c r="E7" s="55" t="s">
        <v>238</v>
      </c>
      <c r="F7" s="55" t="s">
        <v>68</v>
      </c>
      <c r="G7" s="55" t="s">
        <v>238</v>
      </c>
      <c r="H7" s="55" t="s">
        <v>68</v>
      </c>
      <c r="I7" s="55" t="s">
        <v>238</v>
      </c>
      <c r="J7" s="55" t="s">
        <v>247</v>
      </c>
      <c r="K7" s="55" t="s">
        <v>238</v>
      </c>
      <c r="L7" s="33"/>
    </row>
    <row r="8" spans="1:12" s="400" customFormat="1" ht="21" customHeight="1" thickBot="1" x14ac:dyDescent="0.25">
      <c r="A8" s="390" t="s">
        <v>50</v>
      </c>
      <c r="B8" s="394" t="s">
        <v>248</v>
      </c>
      <c r="C8" s="394" t="s">
        <v>29</v>
      </c>
      <c r="D8" s="394" t="s">
        <v>130</v>
      </c>
      <c r="E8" s="394" t="s">
        <v>29</v>
      </c>
      <c r="F8" s="394" t="s">
        <v>130</v>
      </c>
      <c r="G8" s="394" t="s">
        <v>29</v>
      </c>
      <c r="H8" s="394">
        <v>0</v>
      </c>
      <c r="I8" s="394" t="s">
        <v>29</v>
      </c>
      <c r="J8" s="394" t="s">
        <v>132</v>
      </c>
      <c r="K8" s="394" t="s">
        <v>86</v>
      </c>
      <c r="L8" s="60" t="s">
        <v>26</v>
      </c>
    </row>
    <row r="9" spans="1:12" s="313" customFormat="1" ht="15" customHeight="1" x14ac:dyDescent="0.2">
      <c r="A9" s="602" t="s">
        <v>380</v>
      </c>
      <c r="B9" s="613">
        <v>19</v>
      </c>
      <c r="C9" s="613">
        <f>B9*4</f>
        <v>76</v>
      </c>
      <c r="D9" s="613">
        <v>0</v>
      </c>
      <c r="E9" s="613">
        <v>0</v>
      </c>
      <c r="F9" s="613">
        <v>0</v>
      </c>
      <c r="G9" s="613">
        <v>0</v>
      </c>
      <c r="H9" s="614">
        <v>0</v>
      </c>
      <c r="I9" s="614">
        <v>0</v>
      </c>
      <c r="J9" s="613">
        <v>0</v>
      </c>
      <c r="K9" s="613">
        <v>0</v>
      </c>
      <c r="L9" s="615" t="s">
        <v>381</v>
      </c>
    </row>
    <row r="10" spans="1:12" s="313" customFormat="1" ht="15" customHeight="1" x14ac:dyDescent="0.2">
      <c r="A10" s="726" t="s">
        <v>30</v>
      </c>
      <c r="B10" s="737">
        <v>1069</v>
      </c>
      <c r="C10" s="737">
        <v>2332</v>
      </c>
      <c r="D10" s="737">
        <v>0</v>
      </c>
      <c r="E10" s="737">
        <v>0</v>
      </c>
      <c r="F10" s="737">
        <v>0</v>
      </c>
      <c r="G10" s="737">
        <v>0</v>
      </c>
      <c r="H10" s="738">
        <v>4386</v>
      </c>
      <c r="I10" s="738">
        <f>H11*2</f>
        <v>17724</v>
      </c>
      <c r="J10" s="737">
        <v>0</v>
      </c>
      <c r="K10" s="737">
        <v>0</v>
      </c>
      <c r="L10" s="739" t="s">
        <v>31</v>
      </c>
    </row>
    <row r="11" spans="1:12" s="313" customFormat="1" ht="15" customHeight="1" x14ac:dyDescent="0.2">
      <c r="A11" s="602" t="s">
        <v>3</v>
      </c>
      <c r="B11" s="613">
        <v>179241</v>
      </c>
      <c r="C11" s="613">
        <v>358311</v>
      </c>
      <c r="D11" s="613">
        <v>1581</v>
      </c>
      <c r="E11" s="613">
        <f>D11*13</f>
        <v>20553</v>
      </c>
      <c r="F11" s="613">
        <v>5215</v>
      </c>
      <c r="G11" s="613">
        <f>F11*3</f>
        <v>15645</v>
      </c>
      <c r="H11" s="614">
        <v>8862</v>
      </c>
      <c r="I11" s="614">
        <f>H11*2</f>
        <v>17724</v>
      </c>
      <c r="J11" s="613">
        <v>0</v>
      </c>
      <c r="K11" s="613">
        <v>0</v>
      </c>
      <c r="L11" s="615" t="s">
        <v>15</v>
      </c>
    </row>
    <row r="12" spans="1:12" s="313" customFormat="1" ht="15" customHeight="1" x14ac:dyDescent="0.2">
      <c r="A12" s="728" t="s">
        <v>365</v>
      </c>
      <c r="B12" s="737">
        <v>583</v>
      </c>
      <c r="C12" s="737">
        <v>1633</v>
      </c>
      <c r="D12" s="737">
        <v>6</v>
      </c>
      <c r="E12" s="737">
        <f>D12*13</f>
        <v>78</v>
      </c>
      <c r="F12" s="737">
        <v>1</v>
      </c>
      <c r="G12" s="737">
        <f>F12*4</f>
        <v>4</v>
      </c>
      <c r="H12" s="738">
        <v>3682</v>
      </c>
      <c r="I12" s="738">
        <v>369</v>
      </c>
      <c r="J12" s="737">
        <v>0</v>
      </c>
      <c r="K12" s="737">
        <v>0</v>
      </c>
      <c r="L12" s="739" t="s">
        <v>359</v>
      </c>
    </row>
    <row r="13" spans="1:12" s="313" customFormat="1" ht="15" customHeight="1" x14ac:dyDescent="0.2">
      <c r="A13" s="602" t="s">
        <v>4</v>
      </c>
      <c r="B13" s="613">
        <v>316200</v>
      </c>
      <c r="C13" s="613">
        <v>529726</v>
      </c>
      <c r="D13" s="613">
        <v>24565</v>
      </c>
      <c r="E13" s="613">
        <v>487793</v>
      </c>
      <c r="F13" s="613">
        <v>24083</v>
      </c>
      <c r="G13" s="613">
        <f>F13*1</f>
        <v>24083</v>
      </c>
      <c r="H13" s="614">
        <v>29304</v>
      </c>
      <c r="I13" s="614">
        <f>H13*2</f>
        <v>58608</v>
      </c>
      <c r="J13" s="613">
        <v>106824</v>
      </c>
      <c r="K13" s="613">
        <v>2792633</v>
      </c>
      <c r="L13" s="615" t="s">
        <v>16</v>
      </c>
    </row>
    <row r="14" spans="1:12" s="313" customFormat="1" ht="15" customHeight="1" x14ac:dyDescent="0.2">
      <c r="A14" s="726" t="s">
        <v>5</v>
      </c>
      <c r="B14" s="737">
        <v>52444</v>
      </c>
      <c r="C14" s="737">
        <v>53429</v>
      </c>
      <c r="D14" s="737">
        <v>2557</v>
      </c>
      <c r="E14" s="737">
        <v>63729</v>
      </c>
      <c r="F14" s="737">
        <v>1572</v>
      </c>
      <c r="G14" s="737">
        <f>F14*3</f>
        <v>4716</v>
      </c>
      <c r="H14" s="738">
        <v>21374</v>
      </c>
      <c r="I14" s="738">
        <f>H14*1</f>
        <v>21374</v>
      </c>
      <c r="J14" s="737">
        <v>0</v>
      </c>
      <c r="K14" s="737">
        <v>0</v>
      </c>
      <c r="L14" s="739" t="s">
        <v>23</v>
      </c>
    </row>
    <row r="15" spans="1:12" s="313" customFormat="1" ht="15" customHeight="1" x14ac:dyDescent="0.2">
      <c r="A15" s="602" t="s">
        <v>6</v>
      </c>
      <c r="B15" s="613">
        <v>44389</v>
      </c>
      <c r="C15" s="613">
        <v>76920</v>
      </c>
      <c r="D15" s="613">
        <v>0</v>
      </c>
      <c r="E15" s="613">
        <v>0</v>
      </c>
      <c r="F15" s="613">
        <v>3596</v>
      </c>
      <c r="G15" s="613">
        <f>F15*1</f>
        <v>3596</v>
      </c>
      <c r="H15" s="614">
        <v>4322</v>
      </c>
      <c r="I15" s="614">
        <f>H15*1</f>
        <v>4322</v>
      </c>
      <c r="J15" s="613">
        <v>0</v>
      </c>
      <c r="K15" s="613">
        <v>0</v>
      </c>
      <c r="L15" s="615" t="s">
        <v>24</v>
      </c>
    </row>
    <row r="16" spans="1:12" s="313" customFormat="1" ht="15" customHeight="1" x14ac:dyDescent="0.2">
      <c r="A16" s="726" t="s">
        <v>11</v>
      </c>
      <c r="B16" s="737">
        <v>0</v>
      </c>
      <c r="C16" s="737">
        <v>0</v>
      </c>
      <c r="D16" s="737">
        <v>1964</v>
      </c>
      <c r="E16" s="737">
        <v>40850</v>
      </c>
      <c r="F16" s="737">
        <v>447</v>
      </c>
      <c r="G16" s="737">
        <f>F16*2</f>
        <v>894</v>
      </c>
      <c r="H16" s="738">
        <v>4654</v>
      </c>
      <c r="I16" s="738">
        <f>H16*9</f>
        <v>41886</v>
      </c>
      <c r="J16" s="737">
        <v>2861</v>
      </c>
      <c r="K16" s="737">
        <v>68428</v>
      </c>
      <c r="L16" s="739" t="s">
        <v>21</v>
      </c>
    </row>
    <row r="17" spans="1:12" s="313" customFormat="1" ht="15" customHeight="1" x14ac:dyDescent="0.2">
      <c r="A17" s="602" t="s">
        <v>2</v>
      </c>
      <c r="B17" s="613">
        <v>1431</v>
      </c>
      <c r="C17" s="613">
        <v>2804</v>
      </c>
      <c r="D17" s="613">
        <v>375</v>
      </c>
      <c r="E17" s="613">
        <f>D17*15</f>
        <v>5625</v>
      </c>
      <c r="F17" s="613">
        <v>751</v>
      </c>
      <c r="G17" s="613">
        <f>F17*1</f>
        <v>751</v>
      </c>
      <c r="H17" s="614">
        <v>3311</v>
      </c>
      <c r="I17" s="614">
        <f>H17*4</f>
        <v>13244</v>
      </c>
      <c r="J17" s="613">
        <v>0</v>
      </c>
      <c r="K17" s="613">
        <v>0</v>
      </c>
      <c r="L17" s="615" t="s">
        <v>14</v>
      </c>
    </row>
    <row r="18" spans="1:12" s="313" customFormat="1" ht="15" customHeight="1" x14ac:dyDescent="0.2">
      <c r="A18" s="726" t="s">
        <v>7</v>
      </c>
      <c r="B18" s="737">
        <v>28500</v>
      </c>
      <c r="C18" s="737">
        <v>104594</v>
      </c>
      <c r="D18" s="737">
        <v>1163</v>
      </c>
      <c r="E18" s="737">
        <v>2400</v>
      </c>
      <c r="F18" s="737">
        <v>92</v>
      </c>
      <c r="G18" s="737">
        <f>F18*1</f>
        <v>92</v>
      </c>
      <c r="H18" s="738">
        <v>18348</v>
      </c>
      <c r="I18" s="738">
        <v>3188</v>
      </c>
      <c r="J18" s="737">
        <v>0</v>
      </c>
      <c r="K18" s="737">
        <v>0</v>
      </c>
      <c r="L18" s="739" t="s">
        <v>17</v>
      </c>
    </row>
    <row r="19" spans="1:12" s="313" customFormat="1" ht="15" customHeight="1" x14ac:dyDescent="0.2">
      <c r="A19" s="602" t="s">
        <v>8</v>
      </c>
      <c r="B19" s="613">
        <v>86578</v>
      </c>
      <c r="C19" s="613">
        <v>86753</v>
      </c>
      <c r="D19" s="613">
        <v>1624</v>
      </c>
      <c r="E19" s="613">
        <v>49981</v>
      </c>
      <c r="F19" s="613">
        <v>2936</v>
      </c>
      <c r="G19" s="613">
        <f>F19*3</f>
        <v>8808</v>
      </c>
      <c r="H19" s="614">
        <v>10161</v>
      </c>
      <c r="I19" s="614">
        <f>H19*2</f>
        <v>20322</v>
      </c>
      <c r="J19" s="613">
        <v>0</v>
      </c>
      <c r="K19" s="613">
        <v>0</v>
      </c>
      <c r="L19" s="615" t="s">
        <v>18</v>
      </c>
    </row>
    <row r="20" spans="1:12" s="313" customFormat="1" ht="15" customHeight="1" x14ac:dyDescent="0.2">
      <c r="A20" s="726" t="s">
        <v>9</v>
      </c>
      <c r="B20" s="737">
        <v>39425</v>
      </c>
      <c r="C20" s="737">
        <v>23421</v>
      </c>
      <c r="D20" s="737">
        <v>25965</v>
      </c>
      <c r="E20" s="737">
        <v>511748</v>
      </c>
      <c r="F20" s="737">
        <v>7435</v>
      </c>
      <c r="G20" s="737">
        <f>F20*1</f>
        <v>7435</v>
      </c>
      <c r="H20" s="738">
        <v>8571</v>
      </c>
      <c r="I20" s="738">
        <v>54</v>
      </c>
      <c r="J20" s="737">
        <v>0</v>
      </c>
      <c r="K20" s="737">
        <v>0</v>
      </c>
      <c r="L20" s="739" t="s">
        <v>19</v>
      </c>
    </row>
    <row r="21" spans="1:12" s="313" customFormat="1" ht="15" customHeight="1" x14ac:dyDescent="0.2">
      <c r="A21" s="602" t="s">
        <v>10</v>
      </c>
      <c r="B21" s="613">
        <v>90869</v>
      </c>
      <c r="C21" s="613">
        <v>84216</v>
      </c>
      <c r="D21" s="613">
        <v>2700</v>
      </c>
      <c r="E21" s="613">
        <f>D21*16</f>
        <v>43200</v>
      </c>
      <c r="F21" s="613">
        <v>8582</v>
      </c>
      <c r="G21" s="613">
        <v>696</v>
      </c>
      <c r="H21" s="614">
        <v>27666</v>
      </c>
      <c r="I21" s="614">
        <f>H21*1</f>
        <v>27666</v>
      </c>
      <c r="J21" s="613">
        <v>0</v>
      </c>
      <c r="K21" s="613">
        <v>0</v>
      </c>
      <c r="L21" s="615" t="s">
        <v>20</v>
      </c>
    </row>
    <row r="22" spans="1:12" s="485" customFormat="1" ht="15" customHeight="1" x14ac:dyDescent="0.2">
      <c r="A22" s="726" t="s">
        <v>12</v>
      </c>
      <c r="B22" s="737">
        <v>13155</v>
      </c>
      <c r="C22" s="737">
        <v>27800</v>
      </c>
      <c r="D22" s="737">
        <v>0</v>
      </c>
      <c r="E22" s="737">
        <v>0</v>
      </c>
      <c r="F22" s="737">
        <v>1</v>
      </c>
      <c r="G22" s="737">
        <f>F22*2</f>
        <v>2</v>
      </c>
      <c r="H22" s="738">
        <v>2212</v>
      </c>
      <c r="I22" s="738">
        <v>6950</v>
      </c>
      <c r="J22" s="737">
        <v>0</v>
      </c>
      <c r="K22" s="737">
        <v>0</v>
      </c>
      <c r="L22" s="739" t="s">
        <v>25</v>
      </c>
    </row>
    <row r="23" spans="1:12" s="485" customFormat="1" ht="15" customHeight="1" thickBot="1" x14ac:dyDescent="0.25">
      <c r="A23" s="602" t="s">
        <v>13</v>
      </c>
      <c r="B23" s="613">
        <v>214150</v>
      </c>
      <c r="C23" s="613">
        <v>246459</v>
      </c>
      <c r="D23" s="613">
        <v>0</v>
      </c>
      <c r="E23" s="613">
        <v>0</v>
      </c>
      <c r="F23" s="613">
        <v>0</v>
      </c>
      <c r="G23" s="613">
        <v>0</v>
      </c>
      <c r="H23" s="614">
        <v>16187</v>
      </c>
      <c r="I23" s="614">
        <f>H23*1</f>
        <v>16187</v>
      </c>
      <c r="J23" s="613">
        <v>0</v>
      </c>
      <c r="K23" s="613">
        <v>0</v>
      </c>
      <c r="L23" s="615" t="s">
        <v>22</v>
      </c>
    </row>
    <row r="24" spans="1:12" s="537" customFormat="1" ht="24" customHeight="1" thickBot="1" x14ac:dyDescent="0.25">
      <c r="A24" s="610" t="s">
        <v>0</v>
      </c>
      <c r="B24" s="616">
        <f t="shared" ref="B24:K24" si="0">SUM(B9:B23)</f>
        <v>1068053</v>
      </c>
      <c r="C24" s="616">
        <f t="shared" si="0"/>
        <v>1598474</v>
      </c>
      <c r="D24" s="616">
        <f t="shared" si="0"/>
        <v>62500</v>
      </c>
      <c r="E24" s="616">
        <f t="shared" si="0"/>
        <v>1225957</v>
      </c>
      <c r="F24" s="616">
        <f t="shared" si="0"/>
        <v>54711</v>
      </c>
      <c r="G24" s="616">
        <f t="shared" si="0"/>
        <v>66722</v>
      </c>
      <c r="H24" s="616">
        <f t="shared" si="0"/>
        <v>163040</v>
      </c>
      <c r="I24" s="616">
        <f t="shared" si="0"/>
        <v>249618</v>
      </c>
      <c r="J24" s="617">
        <f t="shared" si="0"/>
        <v>109685</v>
      </c>
      <c r="K24" s="616">
        <f t="shared" si="0"/>
        <v>2861061</v>
      </c>
      <c r="L24" s="618" t="s">
        <v>1</v>
      </c>
    </row>
    <row r="25" spans="1:12" s="7" customFormat="1" ht="24" customHeight="1" x14ac:dyDescent="0.2">
      <c r="A25" s="889"/>
      <c r="B25" s="889"/>
      <c r="C25" s="889"/>
      <c r="D25" s="889"/>
      <c r="E25" s="889"/>
      <c r="F25" s="889"/>
      <c r="G25" s="889"/>
      <c r="H25" s="889"/>
      <c r="I25" s="84"/>
      <c r="J25" s="84"/>
      <c r="K25" s="84"/>
      <c r="L25" s="53"/>
    </row>
    <row r="26" spans="1:12" ht="14.25" x14ac:dyDescent="0.2">
      <c r="C26" s="7"/>
      <c r="D26" s="7"/>
      <c r="E26" s="7"/>
      <c r="F26" s="7"/>
      <c r="G26" s="7"/>
      <c r="H26" s="6"/>
      <c r="I26" s="6"/>
      <c r="J26" s="7"/>
      <c r="L26" s="197"/>
    </row>
    <row r="27" spans="1:12" ht="15" customHeight="1" x14ac:dyDescent="0.25">
      <c r="A27" s="908"/>
      <c r="B27" s="908"/>
      <c r="C27" s="7"/>
      <c r="D27" s="7"/>
      <c r="E27" s="7"/>
      <c r="F27" s="7"/>
      <c r="G27" s="79"/>
      <c r="H27" s="6"/>
      <c r="I27" s="7"/>
      <c r="J27" s="909"/>
      <c r="K27" s="909"/>
      <c r="L27" s="909"/>
    </row>
  </sheetData>
  <mergeCells count="18">
    <mergeCell ref="D6:E6"/>
    <mergeCell ref="B5:C5"/>
    <mergeCell ref="B6:C6"/>
    <mergeCell ref="K3:L3"/>
    <mergeCell ref="A27:B27"/>
    <mergeCell ref="J27:L27"/>
    <mergeCell ref="A1:L1"/>
    <mergeCell ref="A2:L2"/>
    <mergeCell ref="G4:L4"/>
    <mergeCell ref="A4:D4"/>
    <mergeCell ref="A25:H25"/>
    <mergeCell ref="J5:K5"/>
    <mergeCell ref="J6:K6"/>
    <mergeCell ref="H6:I6"/>
    <mergeCell ref="H5:I5"/>
    <mergeCell ref="F5:G5"/>
    <mergeCell ref="F6:G6"/>
    <mergeCell ref="D5:E5"/>
  </mergeCells>
  <phoneticPr fontId="3" type="noConversion"/>
  <printOptions horizontalCentered="1" verticalCentered="1"/>
  <pageMargins left="7.874015748031496E-2" right="0.2" top="0.78740157480314965" bottom="0.78740157480314965" header="0.78740157480314965" footer="0.43307086614173229"/>
  <pageSetup scale="93" orientation="landscape" horizontalDpi="4294967293" verticalDpi="300" r:id="rId1"/>
  <headerFooter alignWithMargins="0">
    <oddFooter>&amp;C47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P27"/>
  <sheetViews>
    <sheetView rightToLeft="1" showWhiteSpace="0" zoomScaleSheetLayoutView="100" workbookViewId="0">
      <selection activeCell="D29" sqref="D29"/>
    </sheetView>
  </sheetViews>
  <sheetFormatPr defaultRowHeight="12.75" x14ac:dyDescent="0.2"/>
  <cols>
    <col min="1" max="1" width="15.140625" customWidth="1"/>
    <col min="2" max="2" width="13.42578125" customWidth="1"/>
    <col min="3" max="3" width="13.7109375" customWidth="1"/>
    <col min="4" max="4" width="11.5703125" customWidth="1"/>
    <col min="5" max="5" width="15.42578125" customWidth="1"/>
    <col min="6" max="6" width="15.140625" customWidth="1"/>
    <col min="7" max="7" width="14.7109375" customWidth="1"/>
    <col min="8" max="8" width="21" customWidth="1"/>
    <col min="9" max="10" width="0.140625" hidden="1" customWidth="1"/>
    <col min="11" max="11" width="3.5703125" hidden="1" customWidth="1"/>
    <col min="12" max="12" width="0.5703125" hidden="1" customWidth="1"/>
    <col min="13" max="13" width="4.140625" customWidth="1"/>
    <col min="15" max="15" width="10" bestFit="1" customWidth="1"/>
    <col min="16" max="16" width="12.28515625" customWidth="1"/>
  </cols>
  <sheetData>
    <row r="1" spans="1:16" ht="21" customHeight="1" x14ac:dyDescent="0.2">
      <c r="A1" s="850" t="s">
        <v>440</v>
      </c>
      <c r="B1" s="850"/>
      <c r="C1" s="850"/>
      <c r="D1" s="850"/>
      <c r="E1" s="850"/>
      <c r="F1" s="850"/>
      <c r="G1" s="850"/>
      <c r="H1" s="850"/>
    </row>
    <row r="2" spans="1:16" ht="14.25" customHeight="1" x14ac:dyDescent="0.2">
      <c r="A2" s="858" t="s">
        <v>441</v>
      </c>
      <c r="B2" s="858"/>
      <c r="C2" s="858"/>
      <c r="D2" s="858"/>
      <c r="E2" s="858"/>
      <c r="F2" s="858"/>
      <c r="G2" s="858"/>
    </row>
    <row r="3" spans="1:16" ht="16.5" customHeight="1" x14ac:dyDescent="0.2">
      <c r="A3" s="858"/>
      <c r="B3" s="858"/>
      <c r="C3" s="858"/>
      <c r="D3" s="858"/>
      <c r="E3" s="858"/>
      <c r="F3" s="858"/>
      <c r="G3" s="858"/>
      <c r="H3" s="238" t="s">
        <v>215</v>
      </c>
    </row>
    <row r="4" spans="1:16" ht="6" customHeight="1" x14ac:dyDescent="0.25">
      <c r="A4" s="857"/>
      <c r="B4" s="857"/>
      <c r="C4" s="18"/>
      <c r="D4" s="858"/>
      <c r="E4" s="858"/>
      <c r="F4" s="858"/>
      <c r="G4" s="19"/>
      <c r="H4" s="19"/>
    </row>
    <row r="5" spans="1:16" ht="17.25" customHeight="1" thickBot="1" x14ac:dyDescent="0.3">
      <c r="A5" s="859" t="s">
        <v>401</v>
      </c>
      <c r="B5" s="859"/>
      <c r="C5" s="859"/>
      <c r="D5" s="25"/>
      <c r="E5" s="25"/>
      <c r="F5" s="856" t="s">
        <v>329</v>
      </c>
      <c r="G5" s="856"/>
      <c r="H5" s="26" t="s">
        <v>74</v>
      </c>
    </row>
    <row r="6" spans="1:16" ht="15" customHeight="1" x14ac:dyDescent="0.2">
      <c r="A6" s="27"/>
      <c r="B6" s="74" t="s">
        <v>67</v>
      </c>
      <c r="C6" s="74" t="s">
        <v>75</v>
      </c>
      <c r="D6" s="74" t="s">
        <v>76</v>
      </c>
      <c r="E6" s="74" t="s">
        <v>77</v>
      </c>
      <c r="F6" s="74" t="s">
        <v>78</v>
      </c>
      <c r="G6" s="74" t="s">
        <v>79</v>
      </c>
      <c r="H6" s="27"/>
    </row>
    <row r="7" spans="1:16" ht="38.25" customHeight="1" x14ac:dyDescent="0.25">
      <c r="A7" s="19"/>
      <c r="B7" s="80" t="s">
        <v>28</v>
      </c>
      <c r="C7" s="187" t="s">
        <v>160</v>
      </c>
      <c r="D7" s="187" t="s">
        <v>145</v>
      </c>
      <c r="E7" s="80" t="s">
        <v>136</v>
      </c>
      <c r="F7" s="80" t="s">
        <v>137</v>
      </c>
      <c r="G7" s="247" t="s">
        <v>351</v>
      </c>
      <c r="H7" s="19"/>
    </row>
    <row r="8" spans="1:16" ht="15" customHeight="1" x14ac:dyDescent="0.2">
      <c r="A8" s="27" t="s">
        <v>80</v>
      </c>
      <c r="B8" s="35" t="s">
        <v>133</v>
      </c>
      <c r="C8" s="15" t="s">
        <v>133</v>
      </c>
      <c r="D8" s="15" t="s">
        <v>133</v>
      </c>
      <c r="E8" s="35" t="s">
        <v>132</v>
      </c>
      <c r="F8" s="35" t="s">
        <v>132</v>
      </c>
      <c r="G8" s="35"/>
      <c r="H8" s="27" t="s">
        <v>26</v>
      </c>
      <c r="L8" s="7"/>
      <c r="N8" s="8"/>
      <c r="P8" s="8"/>
    </row>
    <row r="9" spans="1:16" s="485" customFormat="1" ht="15" customHeight="1" x14ac:dyDescent="0.25">
      <c r="A9" s="478" t="s">
        <v>380</v>
      </c>
      <c r="B9" s="516">
        <v>105.56</v>
      </c>
      <c r="C9" s="480">
        <v>1119.1099999999999</v>
      </c>
      <c r="D9" s="480">
        <v>8.99</v>
      </c>
      <c r="E9" s="480">
        <v>29045.82</v>
      </c>
      <c r="F9" s="516">
        <v>31084.81</v>
      </c>
      <c r="G9" s="804">
        <v>26381740.800000001</v>
      </c>
      <c r="H9" s="487" t="s">
        <v>381</v>
      </c>
      <c r="L9" s="498"/>
      <c r="M9" s="498"/>
      <c r="N9" s="498"/>
      <c r="P9" s="498"/>
    </row>
    <row r="10" spans="1:16" s="313" customFormat="1" ht="15" customHeight="1" x14ac:dyDescent="0.25">
      <c r="A10" s="757" t="s">
        <v>30</v>
      </c>
      <c r="B10" s="800">
        <v>441.45</v>
      </c>
      <c r="C10" s="769">
        <v>4166.1000000000004</v>
      </c>
      <c r="D10" s="769">
        <v>6.3</v>
      </c>
      <c r="E10" s="769">
        <v>126754.65</v>
      </c>
      <c r="F10" s="800">
        <v>125568.9</v>
      </c>
      <c r="G10" s="805">
        <v>83441565</v>
      </c>
      <c r="H10" s="647" t="s">
        <v>31</v>
      </c>
      <c r="L10" s="499"/>
      <c r="M10" s="499"/>
      <c r="N10" s="499"/>
      <c r="P10" s="499"/>
    </row>
    <row r="11" spans="1:16" s="313" customFormat="1" ht="15" customHeight="1" x14ac:dyDescent="0.25">
      <c r="A11" s="478" t="s">
        <v>3</v>
      </c>
      <c r="B11" s="801">
        <v>679.32</v>
      </c>
      <c r="C11" s="768">
        <v>4459.32</v>
      </c>
      <c r="D11" s="768">
        <v>2.16</v>
      </c>
      <c r="E11" s="768">
        <v>187838.46</v>
      </c>
      <c r="F11" s="801">
        <v>153924.84</v>
      </c>
      <c r="G11" s="806">
        <v>39880394.82</v>
      </c>
      <c r="H11" s="487" t="s">
        <v>15</v>
      </c>
      <c r="L11" s="499"/>
      <c r="N11" s="499"/>
      <c r="P11" s="499"/>
    </row>
    <row r="12" spans="1:16" s="313" customFormat="1" ht="15" customHeight="1" x14ac:dyDescent="0.25">
      <c r="A12" s="757" t="s">
        <v>358</v>
      </c>
      <c r="B12" s="800">
        <v>163.84</v>
      </c>
      <c r="C12" s="769">
        <v>928.64</v>
      </c>
      <c r="D12" s="769">
        <v>0</v>
      </c>
      <c r="E12" s="769">
        <v>62028.160000000003</v>
      </c>
      <c r="F12" s="800">
        <v>38206.080000000002</v>
      </c>
      <c r="G12" s="805">
        <v>13926294.4</v>
      </c>
      <c r="H12" s="647" t="s">
        <v>359</v>
      </c>
      <c r="L12" s="499"/>
      <c r="N12" s="499"/>
      <c r="P12" s="499"/>
    </row>
    <row r="13" spans="1:16" s="313" customFormat="1" ht="15" customHeight="1" x14ac:dyDescent="0.25">
      <c r="A13" s="478" t="s">
        <v>4</v>
      </c>
      <c r="B13" s="801">
        <v>3538.29</v>
      </c>
      <c r="C13" s="768">
        <v>31322.54</v>
      </c>
      <c r="D13" s="768">
        <v>70.55</v>
      </c>
      <c r="E13" s="768">
        <v>1027451.19</v>
      </c>
      <c r="F13" s="801">
        <v>1192265.1200000001</v>
      </c>
      <c r="G13" s="806">
        <v>452782198.88999999</v>
      </c>
      <c r="H13" s="483" t="s">
        <v>16</v>
      </c>
      <c r="L13" s="499"/>
      <c r="N13" s="499"/>
      <c r="P13" s="499"/>
    </row>
    <row r="14" spans="1:16" s="313" customFormat="1" ht="15" customHeight="1" x14ac:dyDescent="0.25">
      <c r="A14" s="757" t="s">
        <v>5</v>
      </c>
      <c r="B14" s="800">
        <v>463.65</v>
      </c>
      <c r="C14" s="769">
        <v>3172.29</v>
      </c>
      <c r="D14" s="769">
        <v>0.33</v>
      </c>
      <c r="E14" s="769">
        <v>120027.93</v>
      </c>
      <c r="F14" s="800">
        <v>99917.07</v>
      </c>
      <c r="G14" s="805">
        <v>38124720.479999997</v>
      </c>
      <c r="H14" s="647" t="s">
        <v>23</v>
      </c>
      <c r="L14" s="499"/>
      <c r="N14" s="499"/>
      <c r="P14" s="499"/>
    </row>
    <row r="15" spans="1:16" s="313" customFormat="1" ht="15" customHeight="1" x14ac:dyDescent="0.25">
      <c r="A15" s="478" t="s">
        <v>6</v>
      </c>
      <c r="B15" s="801">
        <v>365.97</v>
      </c>
      <c r="C15" s="768">
        <v>3724.32</v>
      </c>
      <c r="D15" s="768">
        <v>4.32</v>
      </c>
      <c r="E15" s="768">
        <v>124245.12</v>
      </c>
      <c r="F15" s="801">
        <v>112002.24000000001</v>
      </c>
      <c r="G15" s="806">
        <v>37357563.840000004</v>
      </c>
      <c r="H15" s="483" t="s">
        <v>24</v>
      </c>
      <c r="L15" s="499"/>
      <c r="N15" s="499"/>
      <c r="P15" s="499"/>
    </row>
    <row r="16" spans="1:16" s="313" customFormat="1" ht="14.25" customHeight="1" x14ac:dyDescent="0.25">
      <c r="A16" s="757" t="s">
        <v>11</v>
      </c>
      <c r="B16" s="800">
        <v>532.32000000000005</v>
      </c>
      <c r="C16" s="769">
        <v>2322.4899999999998</v>
      </c>
      <c r="D16" s="769">
        <v>0</v>
      </c>
      <c r="E16" s="769">
        <v>77738.850000000006</v>
      </c>
      <c r="F16" s="800">
        <v>78680.5</v>
      </c>
      <c r="G16" s="805">
        <v>20421706</v>
      </c>
      <c r="H16" s="647" t="s">
        <v>21</v>
      </c>
      <c r="L16" s="499"/>
      <c r="N16" s="499"/>
      <c r="P16" s="499"/>
    </row>
    <row r="17" spans="1:16" s="501" customFormat="1" ht="15" customHeight="1" x14ac:dyDescent="0.25">
      <c r="A17" s="785" t="s">
        <v>2</v>
      </c>
      <c r="B17" s="802">
        <v>305.62</v>
      </c>
      <c r="C17" s="803">
        <v>1176.1400000000001</v>
      </c>
      <c r="D17" s="803">
        <v>5.58</v>
      </c>
      <c r="E17" s="803">
        <v>61747.66</v>
      </c>
      <c r="F17" s="802">
        <v>41544.339999999997</v>
      </c>
      <c r="G17" s="807">
        <v>13272154</v>
      </c>
      <c r="H17" s="483" t="s">
        <v>14</v>
      </c>
      <c r="L17" s="502"/>
      <c r="N17" s="502"/>
      <c r="P17" s="502"/>
    </row>
    <row r="18" spans="1:16" s="313" customFormat="1" ht="18" customHeight="1" x14ac:dyDescent="0.25">
      <c r="A18" s="757" t="s">
        <v>7</v>
      </c>
      <c r="B18" s="800">
        <v>839.97</v>
      </c>
      <c r="C18" s="769">
        <v>5271.48</v>
      </c>
      <c r="D18" s="769">
        <v>0</v>
      </c>
      <c r="E18" s="769">
        <v>191647.62</v>
      </c>
      <c r="F18" s="800">
        <v>150686.73000000001</v>
      </c>
      <c r="G18" s="805">
        <v>67454756.370000005</v>
      </c>
      <c r="H18" s="647" t="s">
        <v>17</v>
      </c>
      <c r="L18" s="499"/>
      <c r="N18" s="499"/>
      <c r="P18" s="499"/>
    </row>
    <row r="19" spans="1:16" s="313" customFormat="1" ht="15" customHeight="1" x14ac:dyDescent="0.25">
      <c r="A19" s="478" t="s">
        <v>8</v>
      </c>
      <c r="B19" s="801">
        <v>346.32</v>
      </c>
      <c r="C19" s="768">
        <v>2009.28</v>
      </c>
      <c r="D19" s="768">
        <v>0</v>
      </c>
      <c r="E19" s="768">
        <v>86391.63</v>
      </c>
      <c r="F19" s="801">
        <v>61858.68</v>
      </c>
      <c r="G19" s="806">
        <v>19250528.699999999</v>
      </c>
      <c r="H19" s="483" t="s">
        <v>18</v>
      </c>
      <c r="L19" s="499"/>
      <c r="N19" s="499"/>
      <c r="P19" s="499"/>
    </row>
    <row r="20" spans="1:16" s="313" customFormat="1" ht="15" customHeight="1" x14ac:dyDescent="0.25">
      <c r="A20" s="757" t="s">
        <v>9</v>
      </c>
      <c r="B20" s="800">
        <v>313.95</v>
      </c>
      <c r="C20" s="769">
        <v>1419.48</v>
      </c>
      <c r="D20" s="769">
        <v>1.44</v>
      </c>
      <c r="E20" s="769">
        <v>71904.600000000006</v>
      </c>
      <c r="F20" s="800">
        <v>56765.16</v>
      </c>
      <c r="G20" s="805">
        <v>21041596.800000001</v>
      </c>
      <c r="H20" s="647" t="s">
        <v>19</v>
      </c>
      <c r="L20" s="499"/>
      <c r="N20" s="499"/>
      <c r="P20" s="499"/>
    </row>
    <row r="21" spans="1:16" s="313" customFormat="1" ht="15" customHeight="1" x14ac:dyDescent="0.25">
      <c r="A21" s="478" t="s">
        <v>10</v>
      </c>
      <c r="B21" s="801">
        <v>545.38</v>
      </c>
      <c r="C21" s="768">
        <v>3045.47</v>
      </c>
      <c r="D21" s="768">
        <v>4.4400000000000004</v>
      </c>
      <c r="E21" s="768">
        <v>127581.92</v>
      </c>
      <c r="F21" s="801">
        <v>99090.07</v>
      </c>
      <c r="G21" s="806">
        <v>24821635</v>
      </c>
      <c r="H21" s="483" t="s">
        <v>20</v>
      </c>
      <c r="L21" s="499"/>
      <c r="N21" s="499"/>
      <c r="P21" s="499"/>
    </row>
    <row r="22" spans="1:16" s="313" customFormat="1" ht="15" customHeight="1" x14ac:dyDescent="0.25">
      <c r="A22" s="757" t="s">
        <v>12</v>
      </c>
      <c r="B22" s="800">
        <v>278.12</v>
      </c>
      <c r="C22" s="769">
        <v>1398.08</v>
      </c>
      <c r="D22" s="769">
        <v>2.38</v>
      </c>
      <c r="E22" s="769">
        <v>66271.78</v>
      </c>
      <c r="F22" s="800">
        <v>50154.42</v>
      </c>
      <c r="G22" s="805">
        <v>14600178</v>
      </c>
      <c r="H22" s="647" t="s">
        <v>25</v>
      </c>
      <c r="L22" s="499"/>
      <c r="N22" s="499"/>
      <c r="P22" s="499"/>
    </row>
    <row r="23" spans="1:16" s="313" customFormat="1" ht="14.25" customHeight="1" thickBot="1" x14ac:dyDescent="0.3">
      <c r="A23" s="478" t="s">
        <v>13</v>
      </c>
      <c r="B23" s="801">
        <v>571.9</v>
      </c>
      <c r="C23" s="768">
        <v>2884.44</v>
      </c>
      <c r="D23" s="768">
        <v>0</v>
      </c>
      <c r="E23" s="768">
        <v>190216.95</v>
      </c>
      <c r="F23" s="801">
        <v>145120.26999999999</v>
      </c>
      <c r="G23" s="806">
        <v>57709126.530000001</v>
      </c>
      <c r="H23" s="483" t="s">
        <v>22</v>
      </c>
      <c r="K23" s="499"/>
      <c r="L23" s="499"/>
      <c r="N23" s="499"/>
      <c r="O23" s="499"/>
      <c r="P23" s="499"/>
    </row>
    <row r="24" spans="1:16" s="505" customFormat="1" ht="15" customHeight="1" thickBot="1" x14ac:dyDescent="0.25">
      <c r="A24" s="503" t="s">
        <v>0</v>
      </c>
      <c r="B24" s="534">
        <v>9491.66</v>
      </c>
      <c r="C24" s="534">
        <v>68419.179999999993</v>
      </c>
      <c r="D24" s="534">
        <v>106.49</v>
      </c>
      <c r="E24" s="534">
        <v>2550892.3399999994</v>
      </c>
      <c r="F24" s="534">
        <f>SUM(F9:F23)</f>
        <v>2436869.23</v>
      </c>
      <c r="G24" s="534">
        <v>930466159.63</v>
      </c>
      <c r="H24" s="504" t="s">
        <v>1</v>
      </c>
      <c r="L24" s="506"/>
      <c r="N24" s="506"/>
      <c r="P24" s="506"/>
    </row>
    <row r="25" spans="1:16" ht="18" customHeight="1" x14ac:dyDescent="0.2">
      <c r="A25" s="855"/>
      <c r="B25" s="855"/>
      <c r="C25" s="855"/>
      <c r="D25" s="855"/>
      <c r="L25" s="6"/>
      <c r="N25" s="6"/>
      <c r="P25" s="6"/>
    </row>
    <row r="26" spans="1:16" ht="15.75" customHeight="1" x14ac:dyDescent="0.25">
      <c r="B26" s="7"/>
      <c r="C26" s="23"/>
      <c r="D26" s="23"/>
      <c r="E26" s="23"/>
      <c r="F26" s="23"/>
      <c r="G26" s="23"/>
      <c r="H26" s="7"/>
      <c r="P26" s="6"/>
    </row>
    <row r="27" spans="1:16" ht="16.5" customHeight="1" x14ac:dyDescent="0.2">
      <c r="C27" s="7"/>
      <c r="D27" s="6"/>
      <c r="E27" s="6"/>
      <c r="I27" s="7"/>
    </row>
  </sheetData>
  <mergeCells count="7">
    <mergeCell ref="A25:D25"/>
    <mergeCell ref="A1:H1"/>
    <mergeCell ref="F5:G5"/>
    <mergeCell ref="A4:B4"/>
    <mergeCell ref="D4:F4"/>
    <mergeCell ref="A5:C5"/>
    <mergeCell ref="A2:G3"/>
  </mergeCells>
  <phoneticPr fontId="3" type="noConversion"/>
  <printOptions horizontalCentered="1" verticalCentered="1"/>
  <pageMargins left="0.71" right="1.06" top="1.0374015750000001" bottom="0.98425196850393704" header="0.78740157480314998" footer="0.511811023622047"/>
  <pageSetup orientation="landscape" horizontalDpi="4294967293" verticalDpi="300" r:id="rId1"/>
  <headerFooter alignWithMargins="0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27"/>
  <sheetViews>
    <sheetView rightToLeft="1" zoomScaleSheetLayoutView="106" workbookViewId="0">
      <selection activeCell="F5" sqref="F5:F6"/>
    </sheetView>
  </sheetViews>
  <sheetFormatPr defaultRowHeight="12.75" x14ac:dyDescent="0.2"/>
  <cols>
    <col min="1" max="1" width="11.140625" customWidth="1"/>
    <col min="2" max="2" width="11.7109375" customWidth="1"/>
    <col min="3" max="3" width="14" customWidth="1"/>
    <col min="4" max="4" width="16.28515625" customWidth="1"/>
    <col min="5" max="5" width="15.140625" customWidth="1"/>
    <col min="6" max="6" width="14.140625" customWidth="1"/>
    <col min="7" max="7" width="15.140625" customWidth="1"/>
    <col min="8" max="8" width="16.85546875" customWidth="1"/>
    <col min="9" max="9" width="9.140625" hidden="1" customWidth="1"/>
    <col min="10" max="10" width="4.140625" hidden="1" customWidth="1"/>
    <col min="11" max="13" width="9.140625" hidden="1" customWidth="1"/>
    <col min="14" max="14" width="4.140625" hidden="1" customWidth="1"/>
    <col min="15" max="17" width="9.140625" hidden="1" customWidth="1"/>
  </cols>
  <sheetData>
    <row r="1" spans="1:8" ht="15" customHeight="1" x14ac:dyDescent="0.2">
      <c r="A1" s="850" t="s">
        <v>480</v>
      </c>
      <c r="B1" s="850"/>
      <c r="C1" s="850"/>
      <c r="D1" s="850"/>
      <c r="E1" s="850"/>
      <c r="F1" s="850"/>
      <c r="G1" s="850"/>
      <c r="H1" s="850"/>
    </row>
    <row r="2" spans="1:8" ht="17.25" customHeight="1" x14ac:dyDescent="0.2">
      <c r="A2" s="852" t="s">
        <v>485</v>
      </c>
      <c r="B2" s="852"/>
      <c r="C2" s="852"/>
      <c r="D2" s="852"/>
      <c r="E2" s="852"/>
      <c r="F2" s="852"/>
      <c r="G2" s="852"/>
      <c r="H2" s="852"/>
    </row>
    <row r="3" spans="1:8" s="7" customFormat="1" ht="27" customHeight="1" x14ac:dyDescent="0.25">
      <c r="A3" s="219"/>
      <c r="B3" s="219"/>
      <c r="C3" s="219"/>
      <c r="D3" s="219"/>
      <c r="E3" s="219"/>
      <c r="F3" s="219"/>
      <c r="G3" s="219"/>
      <c r="H3" s="289"/>
    </row>
    <row r="4" spans="1:8" ht="31.5" customHeight="1" thickBot="1" x14ac:dyDescent="0.3">
      <c r="A4" s="903" t="s">
        <v>421</v>
      </c>
      <c r="B4" s="903"/>
      <c r="C4" s="119" t="s">
        <v>425</v>
      </c>
      <c r="D4" s="19"/>
      <c r="E4" s="19"/>
      <c r="F4" s="894" t="s">
        <v>178</v>
      </c>
      <c r="G4" s="894"/>
      <c r="H4" s="241" t="s">
        <v>335</v>
      </c>
    </row>
    <row r="5" spans="1:8" ht="15" customHeight="1" x14ac:dyDescent="0.25">
      <c r="A5" s="39"/>
      <c r="B5" s="886" t="s">
        <v>65</v>
      </c>
      <c r="C5" s="886"/>
      <c r="D5" s="160" t="s">
        <v>173</v>
      </c>
      <c r="E5" s="160"/>
      <c r="F5" s="841" t="s">
        <v>66</v>
      </c>
      <c r="G5" s="117"/>
      <c r="H5" s="39"/>
    </row>
    <row r="6" spans="1:8" s="7" customFormat="1" ht="15" customHeight="1" x14ac:dyDescent="0.25">
      <c r="A6" s="43"/>
      <c r="B6" s="850" t="s">
        <v>346</v>
      </c>
      <c r="C6" s="850"/>
      <c r="D6" s="54" t="s">
        <v>259</v>
      </c>
      <c r="E6" s="54"/>
      <c r="F6" s="839" t="s">
        <v>312</v>
      </c>
      <c r="G6" s="32"/>
      <c r="H6" s="43"/>
    </row>
    <row r="7" spans="1:8" ht="15" customHeight="1" thickBot="1" x14ac:dyDescent="0.25">
      <c r="A7" s="438"/>
      <c r="B7" s="437" t="s">
        <v>67</v>
      </c>
      <c r="C7" s="437" t="s">
        <v>238</v>
      </c>
      <c r="D7" s="437" t="s">
        <v>249</v>
      </c>
      <c r="E7" s="437" t="s">
        <v>238</v>
      </c>
      <c r="F7" s="437" t="s">
        <v>201</v>
      </c>
      <c r="G7" s="437" t="s">
        <v>238</v>
      </c>
      <c r="H7" s="438"/>
    </row>
    <row r="8" spans="1:8" ht="15" customHeight="1" thickBot="1" x14ac:dyDescent="0.25">
      <c r="A8" s="393" t="s">
        <v>50</v>
      </c>
      <c r="B8" s="375" t="s">
        <v>133</v>
      </c>
      <c r="C8" s="740" t="s">
        <v>29</v>
      </c>
      <c r="D8" s="740" t="s">
        <v>250</v>
      </c>
      <c r="E8" s="740" t="s">
        <v>29</v>
      </c>
      <c r="F8" s="740" t="s">
        <v>251</v>
      </c>
      <c r="G8" s="740" t="s">
        <v>29</v>
      </c>
      <c r="H8" s="393" t="s">
        <v>26</v>
      </c>
    </row>
    <row r="9" spans="1:8" s="620" customFormat="1" ht="15" customHeight="1" x14ac:dyDescent="0.2">
      <c r="A9" s="741" t="s">
        <v>380</v>
      </c>
      <c r="B9" s="742">
        <v>1173</v>
      </c>
      <c r="C9" s="722">
        <v>33170</v>
      </c>
      <c r="D9" s="742">
        <v>14592</v>
      </c>
      <c r="E9" s="723">
        <v>120281</v>
      </c>
      <c r="F9" s="723">
        <v>39</v>
      </c>
      <c r="G9" s="722">
        <v>11690</v>
      </c>
      <c r="H9" s="743" t="s">
        <v>381</v>
      </c>
    </row>
    <row r="10" spans="1:8" s="313" customFormat="1" ht="15" customHeight="1" x14ac:dyDescent="0.2">
      <c r="A10" s="621" t="s">
        <v>30</v>
      </c>
      <c r="B10" s="596">
        <v>7545</v>
      </c>
      <c r="C10" s="596">
        <v>255231</v>
      </c>
      <c r="D10" s="596">
        <v>40119</v>
      </c>
      <c r="E10" s="597">
        <v>258783</v>
      </c>
      <c r="F10" s="597">
        <v>181</v>
      </c>
      <c r="G10" s="596">
        <v>77278</v>
      </c>
      <c r="H10" s="603" t="s">
        <v>31</v>
      </c>
    </row>
    <row r="11" spans="1:8" s="313" customFormat="1" ht="15" customHeight="1" x14ac:dyDescent="0.2">
      <c r="A11" s="744" t="s">
        <v>3</v>
      </c>
      <c r="B11" s="722">
        <v>13121</v>
      </c>
      <c r="C11" s="722">
        <v>186129</v>
      </c>
      <c r="D11" s="722">
        <v>64346</v>
      </c>
      <c r="E11" s="723">
        <v>293284</v>
      </c>
      <c r="F11" s="723">
        <v>18</v>
      </c>
      <c r="G11" s="723">
        <f>F11*400</f>
        <v>7200</v>
      </c>
      <c r="H11" s="727" t="s">
        <v>15</v>
      </c>
    </row>
    <row r="12" spans="1:8" s="313" customFormat="1" ht="15" customHeight="1" x14ac:dyDescent="0.2">
      <c r="A12" s="621" t="s">
        <v>365</v>
      </c>
      <c r="B12" s="596">
        <v>3404</v>
      </c>
      <c r="C12" s="596">
        <v>146037</v>
      </c>
      <c r="D12" s="596">
        <v>29842</v>
      </c>
      <c r="E12" s="597">
        <v>119135</v>
      </c>
      <c r="F12" s="597">
        <v>0</v>
      </c>
      <c r="G12" s="597">
        <v>0</v>
      </c>
      <c r="H12" s="603" t="s">
        <v>359</v>
      </c>
    </row>
    <row r="13" spans="1:8" s="313" customFormat="1" ht="15" customHeight="1" x14ac:dyDescent="0.2">
      <c r="A13" s="744" t="s">
        <v>4</v>
      </c>
      <c r="B13" s="722">
        <v>75040</v>
      </c>
      <c r="C13" s="722">
        <v>2290833</v>
      </c>
      <c r="D13" s="722">
        <v>130825</v>
      </c>
      <c r="E13" s="723">
        <v>801637</v>
      </c>
      <c r="F13" s="723">
        <v>0</v>
      </c>
      <c r="G13" s="723">
        <v>0</v>
      </c>
      <c r="H13" s="727" t="s">
        <v>16</v>
      </c>
    </row>
    <row r="14" spans="1:8" s="313" customFormat="1" ht="15" customHeight="1" x14ac:dyDescent="0.2">
      <c r="A14" s="621" t="s">
        <v>5</v>
      </c>
      <c r="B14" s="596">
        <v>8284</v>
      </c>
      <c r="C14" s="596">
        <v>401769</v>
      </c>
      <c r="D14" s="596">
        <v>53221</v>
      </c>
      <c r="E14" s="597">
        <v>222153</v>
      </c>
      <c r="F14" s="597">
        <v>0</v>
      </c>
      <c r="G14" s="597">
        <v>0</v>
      </c>
      <c r="H14" s="603" t="s">
        <v>23</v>
      </c>
    </row>
    <row r="15" spans="1:8" s="313" customFormat="1" ht="15" customHeight="1" x14ac:dyDescent="0.2">
      <c r="A15" s="744" t="s">
        <v>6</v>
      </c>
      <c r="B15" s="722">
        <v>10381</v>
      </c>
      <c r="C15" s="722">
        <v>363099</v>
      </c>
      <c r="D15" s="722">
        <v>21241</v>
      </c>
      <c r="E15" s="723">
        <v>112152</v>
      </c>
      <c r="F15" s="723">
        <v>0</v>
      </c>
      <c r="G15" s="723">
        <v>0</v>
      </c>
      <c r="H15" s="727" t="s">
        <v>24</v>
      </c>
    </row>
    <row r="16" spans="1:8" s="313" customFormat="1" ht="15" customHeight="1" x14ac:dyDescent="0.2">
      <c r="A16" s="621" t="s">
        <v>11</v>
      </c>
      <c r="B16" s="596">
        <v>5381</v>
      </c>
      <c r="C16" s="596">
        <v>159411</v>
      </c>
      <c r="D16" s="596">
        <v>28918</v>
      </c>
      <c r="E16" s="597">
        <v>121503</v>
      </c>
      <c r="F16" s="597">
        <v>0</v>
      </c>
      <c r="G16" s="597">
        <v>0</v>
      </c>
      <c r="H16" s="603" t="s">
        <v>21</v>
      </c>
    </row>
    <row r="17" spans="1:9" s="313" customFormat="1" ht="15" customHeight="1" x14ac:dyDescent="0.2">
      <c r="A17" s="744" t="s">
        <v>2</v>
      </c>
      <c r="B17" s="722">
        <v>4893</v>
      </c>
      <c r="C17" s="722">
        <v>120728</v>
      </c>
      <c r="D17" s="722">
        <v>27888</v>
      </c>
      <c r="E17" s="723">
        <v>272934</v>
      </c>
      <c r="F17" s="723">
        <v>0</v>
      </c>
      <c r="G17" s="723">
        <v>0</v>
      </c>
      <c r="H17" s="727" t="s">
        <v>14</v>
      </c>
    </row>
    <row r="18" spans="1:9" s="313" customFormat="1" ht="15" customHeight="1" x14ac:dyDescent="0.2">
      <c r="A18" s="621" t="s">
        <v>7</v>
      </c>
      <c r="B18" s="596">
        <v>15960</v>
      </c>
      <c r="C18" s="596">
        <v>303763</v>
      </c>
      <c r="D18" s="596">
        <v>19539</v>
      </c>
      <c r="E18" s="597">
        <v>179670</v>
      </c>
      <c r="F18" s="597">
        <v>0</v>
      </c>
      <c r="G18" s="597">
        <v>0</v>
      </c>
      <c r="H18" s="603" t="s">
        <v>17</v>
      </c>
    </row>
    <row r="19" spans="1:9" s="313" customFormat="1" ht="15" customHeight="1" x14ac:dyDescent="0.2">
      <c r="A19" s="744" t="s">
        <v>8</v>
      </c>
      <c r="B19" s="722">
        <v>5403</v>
      </c>
      <c r="C19" s="722">
        <v>136191</v>
      </c>
      <c r="D19" s="722">
        <v>53178</v>
      </c>
      <c r="E19" s="723">
        <v>180409</v>
      </c>
      <c r="F19" s="723">
        <v>0</v>
      </c>
      <c r="G19" s="723">
        <v>0</v>
      </c>
      <c r="H19" s="727" t="s">
        <v>18</v>
      </c>
    </row>
    <row r="20" spans="1:9" s="313" customFormat="1" ht="15" customHeight="1" x14ac:dyDescent="0.2">
      <c r="A20" s="621" t="s">
        <v>9</v>
      </c>
      <c r="B20" s="596">
        <v>5545</v>
      </c>
      <c r="C20" s="596">
        <v>142434</v>
      </c>
      <c r="D20" s="596">
        <v>75248</v>
      </c>
      <c r="E20" s="597">
        <v>211149</v>
      </c>
      <c r="F20" s="597">
        <v>0</v>
      </c>
      <c r="G20" s="597">
        <v>0</v>
      </c>
      <c r="H20" s="603" t="s">
        <v>19</v>
      </c>
    </row>
    <row r="21" spans="1:9" s="313" customFormat="1" ht="15" customHeight="1" x14ac:dyDescent="0.2">
      <c r="A21" s="744" t="s">
        <v>10</v>
      </c>
      <c r="B21" s="722">
        <v>9417</v>
      </c>
      <c r="C21" s="722">
        <v>248710</v>
      </c>
      <c r="D21" s="722">
        <v>96376</v>
      </c>
      <c r="E21" s="723">
        <v>292661</v>
      </c>
      <c r="F21" s="723">
        <v>0</v>
      </c>
      <c r="G21" s="723">
        <v>0</v>
      </c>
      <c r="H21" s="727" t="s">
        <v>20</v>
      </c>
    </row>
    <row r="22" spans="1:9" s="313" customFormat="1" ht="15" customHeight="1" x14ac:dyDescent="0.2">
      <c r="A22" s="621" t="s">
        <v>12</v>
      </c>
      <c r="B22" s="596">
        <v>629</v>
      </c>
      <c r="C22" s="596">
        <v>15060</v>
      </c>
      <c r="D22" s="596">
        <v>15814</v>
      </c>
      <c r="E22" s="597">
        <v>46022</v>
      </c>
      <c r="F22" s="597">
        <v>0</v>
      </c>
      <c r="G22" s="597">
        <v>0</v>
      </c>
      <c r="H22" s="603" t="s">
        <v>25</v>
      </c>
    </row>
    <row r="23" spans="1:9" s="313" customFormat="1" ht="15" customHeight="1" thickBot="1" x14ac:dyDescent="0.25">
      <c r="A23" s="744" t="s">
        <v>13</v>
      </c>
      <c r="B23" s="722">
        <v>16659</v>
      </c>
      <c r="C23" s="722">
        <v>618928</v>
      </c>
      <c r="D23" s="722">
        <v>73725</v>
      </c>
      <c r="E23" s="723">
        <v>439608</v>
      </c>
      <c r="F23" s="723">
        <v>0</v>
      </c>
      <c r="G23" s="723">
        <v>0</v>
      </c>
      <c r="H23" s="727" t="s">
        <v>22</v>
      </c>
    </row>
    <row r="24" spans="1:9" s="161" customFormat="1" ht="15.75" customHeight="1" thickBot="1" x14ac:dyDescent="0.25">
      <c r="A24" s="215" t="s">
        <v>0</v>
      </c>
      <c r="B24" s="444">
        <f t="shared" ref="B24:G24" si="0">SUM(B9:B23)</f>
        <v>182835</v>
      </c>
      <c r="C24" s="444">
        <f t="shared" si="0"/>
        <v>5421493</v>
      </c>
      <c r="D24" s="444">
        <f t="shared" si="0"/>
        <v>744872</v>
      </c>
      <c r="E24" s="444">
        <f t="shared" si="0"/>
        <v>3671381</v>
      </c>
      <c r="F24" s="444">
        <f t="shared" si="0"/>
        <v>238</v>
      </c>
      <c r="G24" s="449">
        <f t="shared" si="0"/>
        <v>96168</v>
      </c>
      <c r="H24" s="216" t="s">
        <v>1</v>
      </c>
    </row>
    <row r="25" spans="1:9" s="7" customFormat="1" ht="15.75" customHeight="1" thickTop="1" x14ac:dyDescent="0.2">
      <c r="A25" s="889"/>
      <c r="B25" s="889"/>
      <c r="C25" s="889"/>
      <c r="D25" s="889"/>
      <c r="E25" s="889"/>
      <c r="F25" s="889"/>
      <c r="G25" s="84"/>
      <c r="H25" s="53"/>
    </row>
    <row r="26" spans="1:9" ht="14.25" x14ac:dyDescent="0.2">
      <c r="C26" s="7"/>
      <c r="D26" s="7"/>
      <c r="E26" s="7"/>
      <c r="F26" s="6"/>
      <c r="G26" s="6"/>
      <c r="H26" s="197"/>
    </row>
    <row r="27" spans="1:9" ht="15" customHeight="1" x14ac:dyDescent="0.25">
      <c r="A27" s="908"/>
      <c r="B27" s="908"/>
      <c r="C27" s="7"/>
      <c r="D27" s="7"/>
      <c r="E27" s="79"/>
      <c r="F27" s="6"/>
      <c r="G27" s="7"/>
      <c r="H27" s="291"/>
      <c r="I27" s="53"/>
    </row>
  </sheetData>
  <mergeCells count="8">
    <mergeCell ref="A27:B27"/>
    <mergeCell ref="A1:H1"/>
    <mergeCell ref="A2:H2"/>
    <mergeCell ref="F4:G4"/>
    <mergeCell ref="A4:B4"/>
    <mergeCell ref="B5:C5"/>
    <mergeCell ref="B6:C6"/>
    <mergeCell ref="A25:F25"/>
  </mergeCells>
  <phoneticPr fontId="3" type="noConversion"/>
  <printOptions horizontalCentered="1" verticalCentered="1"/>
  <pageMargins left="0.19685039370078741" right="0.54" top="0" bottom="0.98425196850393704" header="0.78740157480314965" footer="0.51181102362204722"/>
  <pageSetup orientation="landscape" verticalDpi="300" r:id="rId1"/>
  <headerFooter alignWithMargins="0">
    <oddFooter>&amp;C48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zoomScaleSheetLayoutView="100" workbookViewId="0">
      <selection activeCell="L7" sqref="L7"/>
    </sheetView>
  </sheetViews>
  <sheetFormatPr defaultRowHeight="12.75" x14ac:dyDescent="0.2"/>
  <cols>
    <col min="1" max="1" width="9.85546875" customWidth="1"/>
    <col min="2" max="2" width="9.140625" customWidth="1"/>
    <col min="3" max="3" width="11.42578125" customWidth="1"/>
    <col min="4" max="4" width="9.85546875" customWidth="1"/>
    <col min="5" max="5" width="9.5703125" customWidth="1"/>
    <col min="6" max="6" width="10.42578125" customWidth="1"/>
    <col min="7" max="7" width="12.5703125" customWidth="1"/>
    <col min="8" max="8" width="14.7109375" style="7" customWidth="1"/>
    <col min="9" max="9" width="13.85546875" style="7" customWidth="1"/>
    <col min="10" max="10" width="21.7109375" customWidth="1"/>
    <col min="11" max="11" width="0.42578125" hidden="1" customWidth="1"/>
  </cols>
  <sheetData>
    <row r="1" spans="1:12" ht="15" x14ac:dyDescent="0.2">
      <c r="A1" s="850" t="s">
        <v>482</v>
      </c>
      <c r="B1" s="850"/>
      <c r="C1" s="850"/>
      <c r="D1" s="850"/>
      <c r="E1" s="850"/>
      <c r="F1" s="850"/>
      <c r="G1" s="850"/>
      <c r="H1" s="850"/>
      <c r="I1" s="850"/>
      <c r="J1" s="850"/>
    </row>
    <row r="2" spans="1:12" ht="12.75" customHeight="1" x14ac:dyDescent="0.2">
      <c r="A2" s="852" t="s">
        <v>486</v>
      </c>
      <c r="B2" s="852"/>
      <c r="C2" s="852"/>
      <c r="D2" s="852"/>
      <c r="E2" s="852"/>
      <c r="F2" s="852"/>
      <c r="G2" s="852"/>
      <c r="H2" s="852"/>
      <c r="I2" s="852"/>
      <c r="J2" s="852"/>
    </row>
    <row r="3" spans="1:12" s="7" customFormat="1" ht="12.75" customHeight="1" x14ac:dyDescent="0.2">
      <c r="A3" s="219"/>
      <c r="B3" s="219"/>
      <c r="C3" s="219"/>
      <c r="D3" s="219"/>
      <c r="E3" s="219"/>
      <c r="F3" s="219"/>
      <c r="G3" s="219"/>
      <c r="H3" s="294"/>
      <c r="I3" s="294"/>
      <c r="J3" s="219"/>
    </row>
    <row r="4" spans="1:12" ht="63" customHeight="1" thickBot="1" x14ac:dyDescent="0.25">
      <c r="A4" s="903" t="s">
        <v>417</v>
      </c>
      <c r="B4" s="903"/>
      <c r="C4" s="952" t="s">
        <v>177</v>
      </c>
      <c r="D4" s="952"/>
      <c r="E4" s="952"/>
      <c r="F4" s="876" t="s">
        <v>178</v>
      </c>
      <c r="G4" s="876"/>
      <c r="H4" s="295"/>
      <c r="I4" s="295"/>
      <c r="J4" s="241" t="s">
        <v>335</v>
      </c>
    </row>
    <row r="5" spans="1:12" ht="21" customHeight="1" x14ac:dyDescent="0.25">
      <c r="A5" s="39"/>
      <c r="B5" s="886" t="s">
        <v>252</v>
      </c>
      <c r="C5" s="886"/>
      <c r="D5" s="886" t="s">
        <v>253</v>
      </c>
      <c r="E5" s="886"/>
      <c r="F5" s="886" t="s">
        <v>261</v>
      </c>
      <c r="G5" s="886"/>
      <c r="H5" s="886" t="s">
        <v>0</v>
      </c>
      <c r="I5" s="886"/>
      <c r="J5" s="39"/>
    </row>
    <row r="6" spans="1:12" s="161" customFormat="1" ht="34.5" customHeight="1" x14ac:dyDescent="0.25">
      <c r="A6" s="165"/>
      <c r="B6" s="871" t="s">
        <v>260</v>
      </c>
      <c r="C6" s="871"/>
      <c r="D6" s="871" t="s">
        <v>294</v>
      </c>
      <c r="E6" s="871"/>
      <c r="F6" s="953" t="s">
        <v>347</v>
      </c>
      <c r="G6" s="953"/>
      <c r="H6" s="953" t="s">
        <v>109</v>
      </c>
      <c r="I6" s="953"/>
      <c r="J6" s="59" t="s">
        <v>215</v>
      </c>
      <c r="K6" s="234"/>
    </row>
    <row r="7" spans="1:12" ht="39" customHeight="1" thickBot="1" x14ac:dyDescent="0.3">
      <c r="A7" s="165"/>
      <c r="B7" s="436" t="s">
        <v>194</v>
      </c>
      <c r="C7" s="436" t="s">
        <v>238</v>
      </c>
      <c r="D7" s="436" t="s">
        <v>42</v>
      </c>
      <c r="E7" s="436" t="s">
        <v>238</v>
      </c>
      <c r="F7" s="436" t="s">
        <v>194</v>
      </c>
      <c r="G7" s="436" t="s">
        <v>238</v>
      </c>
      <c r="H7" s="840" t="s">
        <v>194</v>
      </c>
      <c r="I7" s="840" t="s">
        <v>509</v>
      </c>
      <c r="J7" s="42"/>
    </row>
    <row r="8" spans="1:12" s="3" customFormat="1" ht="29.25" customHeight="1" thickBot="1" x14ac:dyDescent="0.25">
      <c r="A8" s="393" t="s">
        <v>50</v>
      </c>
      <c r="B8" s="375" t="s">
        <v>132</v>
      </c>
      <c r="C8" s="740"/>
      <c r="D8" s="740" t="s">
        <v>43</v>
      </c>
      <c r="E8" s="740" t="s">
        <v>191</v>
      </c>
      <c r="F8" s="740" t="s">
        <v>132</v>
      </c>
      <c r="G8" s="740" t="s">
        <v>191</v>
      </c>
      <c r="H8" s="740"/>
      <c r="I8" s="834" t="s">
        <v>191</v>
      </c>
      <c r="J8" s="745" t="s">
        <v>26</v>
      </c>
    </row>
    <row r="9" spans="1:12" s="485" customFormat="1" ht="15" x14ac:dyDescent="0.2">
      <c r="A9" s="824" t="s">
        <v>380</v>
      </c>
      <c r="B9" s="825">
        <v>0</v>
      </c>
      <c r="C9" s="825">
        <v>0</v>
      </c>
      <c r="D9" s="825">
        <v>1669</v>
      </c>
      <c r="E9" s="825">
        <v>33549</v>
      </c>
      <c r="F9" s="825">
        <v>0</v>
      </c>
      <c r="G9" s="825">
        <v>0</v>
      </c>
      <c r="H9" s="722">
        <f>'مواد انشائيه1'!B9+'مواد انشائيه1'!D9+'مواد انشائيه1'!F9+'مواد انشائيه1'!H9+'مواد انشائيه2'!B9+'مواد انشائيه2'!D9+'مواد انشائيه2'!F9+'مواد انشائيه2'!H9+'مواد انشائيه2'!J9+'مواد انشائيه3'!B9+'مواد انشائيه3'!D9+'مواد انشائيه3'!F9+'مواد انشائيه4'!B9+'مواد انشائيه4'!D9+'مواد انشائيه4'!F9</f>
        <v>73493</v>
      </c>
      <c r="I9" s="727">
        <f>'مواد انشائيه1'!C9+'مواد انشائيه1'!E9+'مواد انشائيه1'!G9+'مواد انشائيه1'!I9+'مواد انشائيه2'!C9+'مواد انشائيه2'!E9+'مواد انشائيه2'!G9+'مواد انشائيه2'!I9+'مواد انشائيه2'!K9+'مواد انشائيه3'!C9+'مواد انشائيه3'!E9+'مواد انشائيه3'!G9+'مواد انشائيه4'!C9+'مواد انشائيه4'!E9+'مواد انشائيه4'!G9</f>
        <v>1064731</v>
      </c>
      <c r="J9" s="826" t="s">
        <v>381</v>
      </c>
      <c r="K9" s="827"/>
      <c r="L9" s="827"/>
    </row>
    <row r="10" spans="1:12" s="313" customFormat="1" ht="15" customHeight="1" x14ac:dyDescent="0.2">
      <c r="A10" s="835" t="s">
        <v>30</v>
      </c>
      <c r="B10" s="836">
        <v>0</v>
      </c>
      <c r="C10" s="836">
        <v>0</v>
      </c>
      <c r="D10" s="836">
        <v>2837</v>
      </c>
      <c r="E10" s="836">
        <v>55495</v>
      </c>
      <c r="F10" s="836">
        <v>0</v>
      </c>
      <c r="G10" s="836">
        <v>0</v>
      </c>
      <c r="H10" s="760">
        <f>'مواد انشائيه1'!B10+'مواد انشائيه1'!D10+'مواد انشائيه1'!F10+'مواد انشائيه1'!H10+'مواد انشائيه2'!B10+'مواد انشائيه2'!D10+'مواد انشائيه2'!F10+'مواد انشائيه2'!H10+'مواد انشائيه2'!J10+'مواد انشائيه3'!B10+'مواد انشائيه3'!D10+'مواد انشائيه3'!F10+'مواد انشائيه4'!B10+'مواد انشائيه4'!D10+'مواد انشائيه4'!F10</f>
        <v>231596</v>
      </c>
      <c r="I10" s="783">
        <f>'مواد انشائيه1'!C10+'مواد انشائيه1'!E10+'مواد انشائيه1'!G10+'مواد انشائيه1'!I10+'مواد انشائيه2'!C10+'مواد انشائيه2'!E10+'مواد انشائيه2'!G10+'مواد انشائيه2'!I10+'مواد انشائيه2'!K10+'مواد انشائيه3'!C10+'مواد انشائيه3'!E10+'مواد انشائيه3'!G10+'مواد انشائيه4'!C10+'مواد انشائيه4'!E10+'مواد انشائيه4'!G10</f>
        <v>2594318</v>
      </c>
      <c r="J10" s="837" t="s">
        <v>31</v>
      </c>
      <c r="K10" s="828"/>
      <c r="L10" s="828"/>
    </row>
    <row r="11" spans="1:12" s="313" customFormat="1" ht="15" customHeight="1" x14ac:dyDescent="0.2">
      <c r="A11" s="824" t="s">
        <v>3</v>
      </c>
      <c r="B11" s="825">
        <v>53</v>
      </c>
      <c r="C11" s="825">
        <v>324</v>
      </c>
      <c r="D11" s="825">
        <v>3779</v>
      </c>
      <c r="E11" s="825">
        <v>96356</v>
      </c>
      <c r="F11" s="825">
        <v>3793</v>
      </c>
      <c r="G11" s="829">
        <v>193240</v>
      </c>
      <c r="H11" s="722">
        <f>'مواد انشائيه1'!B11+'مواد انشائيه1'!D11+'مواد انشائيه1'!F11+'مواد انشائيه1'!H11+'مواد انشائيه2'!B11+'مواد انشائيه2'!D11+'مواد انشائيه2'!F11+'مواد انشائيه2'!H11+'مواد انشائيه2'!J11+'مواد انشائيه3'!B11+'مواد انشائيه3'!D11+'مواد انشائيه3'!F11+'مواد انشائيه4'!B11+'مواد انشائيه4'!D11+'مواد انشائيه4'!F11</f>
        <v>495019</v>
      </c>
      <c r="I11" s="727">
        <f>'مواد انشائيه1'!C11+'مواد انشائيه1'!E11+'مواد انشائيه1'!G11+'مواد انشائيه1'!I11+'مواد انشائيه2'!C11+'مواد انشائيه2'!E11+'مواد انشائيه2'!G11+'مواد انشائيه2'!I11+'مواد انشائيه2'!K11+'مواد انشائيه3'!C11+'مواد انشائيه3'!E11+'مواد انشائيه3'!G11+'مواد انشائيه4'!C11+'مواد انشائيه4'!E11+'مواد انشائيه4'!G11</f>
        <v>6564060</v>
      </c>
      <c r="J11" s="826" t="s">
        <v>15</v>
      </c>
      <c r="K11" s="828"/>
      <c r="L11" s="828"/>
    </row>
    <row r="12" spans="1:12" s="313" customFormat="1" ht="15" customHeight="1" x14ac:dyDescent="0.2">
      <c r="A12" s="835" t="s">
        <v>365</v>
      </c>
      <c r="B12" s="836">
        <v>0</v>
      </c>
      <c r="C12" s="836">
        <v>0</v>
      </c>
      <c r="D12" s="836">
        <v>76</v>
      </c>
      <c r="E12" s="836">
        <f>D12*29</f>
        <v>2204</v>
      </c>
      <c r="F12" s="836">
        <v>0</v>
      </c>
      <c r="G12" s="836">
        <v>0</v>
      </c>
      <c r="H12" s="760">
        <f>'مواد انشائيه1'!B12+'مواد انشائيه1'!D12+'مواد انشائيه1'!F12+'مواد انشائيه1'!H12+'مواد انشائيه2'!B12+'مواد انشائيه2'!D12+'مواد انشائيه2'!F12+'مواد انشائيه2'!H12+'مواد انشائيه2'!J12+'مواد انشائيه3'!B12+'مواد انشائيه3'!D12+'مواد انشائيه3'!F12+'مواد انشائيه4'!B12+'مواد انشائيه4'!D12+'مواد انشائيه4'!F12</f>
        <v>118022</v>
      </c>
      <c r="I12" s="783">
        <f>'مواد انشائيه1'!C12+'مواد انشائيه1'!E12+'مواد انشائيه1'!G12+'مواد انشائيه1'!I12+'مواد انشائيه2'!C12+'مواد انشائيه2'!E12+'مواد انشائيه2'!G12+'مواد انشائيه2'!I12+'مواد انشائيه2'!K12+'مواد انشائيه3'!C12+'مواد انشائيه3'!E12+'مواد انشائيه3'!G12+'مواد انشائيه4'!C12+'مواد انشائيه4'!E12+'مواد انشائيه4'!G12</f>
        <v>1159837</v>
      </c>
      <c r="J12" s="837" t="s">
        <v>359</v>
      </c>
      <c r="K12" s="828"/>
      <c r="L12" s="828"/>
    </row>
    <row r="13" spans="1:12" s="313" customFormat="1" ht="15" customHeight="1" x14ac:dyDescent="0.2">
      <c r="A13" s="824" t="s">
        <v>4</v>
      </c>
      <c r="B13" s="825">
        <v>34886</v>
      </c>
      <c r="C13" s="825">
        <v>473277</v>
      </c>
      <c r="D13" s="825">
        <v>38209</v>
      </c>
      <c r="E13" s="825">
        <v>471144</v>
      </c>
      <c r="F13" s="825">
        <v>29083</v>
      </c>
      <c r="G13" s="829">
        <v>1046059</v>
      </c>
      <c r="H13" s="722">
        <f>'مواد انشائيه1'!B13+'مواد انشائيه1'!D13+'مواد انشائيه1'!F13+'مواد انشائيه1'!H13+'مواد انشائيه2'!B13+'مواد انشائيه2'!D13+'مواد انشائيه2'!F13+'مواد انشائيه2'!H13+'مواد انشائيه2'!J13+'مواد انشائيه3'!B13+'مواد انشائيه3'!D13+'مواد انشائيه3'!F13+'مواد انشائيه4'!B13+'مواد انشائيه4'!D13+'مواد انشائيه4'!F13</f>
        <v>2469151</v>
      </c>
      <c r="I13" s="727">
        <f>'مواد انشائيه1'!C13+'مواد انشائيه1'!E13+'مواد انشائيه1'!G13+'مواد انشائيه1'!I13+'مواد انشائيه2'!C13+'مواد انشائيه2'!E13+'مواد انشائيه2'!G13+'مواد انشائيه2'!I13+'مواد انشائيه2'!K13+'مواد انشائيه3'!C13+'مواد انشائيه3'!E13+'مواد انشائيه3'!G13+'مواد انشائيه4'!C13+'مواد انشائيه4'!E13+'مواد انشائيه4'!G13</f>
        <v>170977044</v>
      </c>
      <c r="J13" s="826" t="s">
        <v>16</v>
      </c>
      <c r="K13" s="828"/>
      <c r="L13" s="828"/>
    </row>
    <row r="14" spans="1:12" s="313" customFormat="1" ht="14.25" customHeight="1" x14ac:dyDescent="0.2">
      <c r="A14" s="835" t="s">
        <v>5</v>
      </c>
      <c r="B14" s="836">
        <v>0</v>
      </c>
      <c r="C14" s="836">
        <v>0</v>
      </c>
      <c r="D14" s="836">
        <v>0</v>
      </c>
      <c r="E14" s="836">
        <v>0</v>
      </c>
      <c r="F14" s="836">
        <v>0</v>
      </c>
      <c r="G14" s="836">
        <v>0</v>
      </c>
      <c r="H14" s="760">
        <f>'مواد انشائيه1'!B14+'مواد انشائيه1'!D14+'مواد انشائيه1'!F14+'مواد انشائيه1'!H14+'مواد انشائيه2'!B14+'مواد انشائيه2'!D14+'مواد انشائيه2'!F14+'مواد انشائيه2'!H14+'مواد انشائيه2'!J14+'مواد انشائيه3'!B14+'مواد انشائيه3'!D14+'مواد انشائيه3'!F14+'مواد انشائيه4'!B14+'مواد انشائيه4'!D14+'مواد انشائيه4'!F14</f>
        <v>312376</v>
      </c>
      <c r="I14" s="783">
        <f>'مواد انشائيه1'!C14+'مواد انشائيه1'!E14+'مواد انشائيه1'!G14+'مواد انشائيه1'!I14+'مواد انشائيه2'!C14+'مواد انشائيه2'!E14+'مواد انشائيه2'!G14+'مواد انشائيه2'!I14+'مواد انشائيه2'!K14+'مواد انشائيه3'!C14+'مواد انشائيه3'!E14+'مواد انشائيه3'!G14+'مواد انشائيه4'!C14+'مواد انشائيه4'!E14+'مواد انشائيه4'!G14</f>
        <v>2584665</v>
      </c>
      <c r="J14" s="837" t="s">
        <v>23</v>
      </c>
      <c r="K14" s="828"/>
      <c r="L14" s="828"/>
    </row>
    <row r="15" spans="1:12" s="313" customFormat="1" ht="15" customHeight="1" x14ac:dyDescent="0.2">
      <c r="A15" s="824" t="s">
        <v>6</v>
      </c>
      <c r="B15" s="825">
        <v>0</v>
      </c>
      <c r="C15" s="825">
        <v>0</v>
      </c>
      <c r="D15" s="825">
        <v>0</v>
      </c>
      <c r="E15" s="825">
        <v>0</v>
      </c>
      <c r="F15" s="825">
        <v>2975</v>
      </c>
      <c r="G15" s="829">
        <v>202878</v>
      </c>
      <c r="H15" s="722">
        <f>'مواد انشائيه1'!B15+'مواد انشائيه1'!D15+'مواد انشائيه1'!F15+'مواد انشائيه1'!H15+'مواد انشائيه2'!B15+'مواد انشائيه2'!D15+'مواد انشائيه2'!F15+'مواد انشائيه2'!H15+'مواد انشائيه2'!J15+'مواد انشائيه3'!B15+'مواد انشائيه3'!D15+'مواد انشائيه3'!F15+'مواد انشائيه4'!B15+'مواد انشائيه4'!D15+'مواد انشائيه4'!F15</f>
        <v>232685</v>
      </c>
      <c r="I15" s="727">
        <f>'مواد انشائيه1'!C15+'مواد انشائيه1'!E15+'مواد انشائيه1'!G15+'مواد انشائيه1'!I15+'مواد انشائيه2'!C15+'مواد انشائيه2'!E15+'مواد انشائيه2'!G15+'مواد انشائيه2'!I15+'مواد انشائيه2'!K15+'مواد انشائيه3'!C15+'مواد انشائيه3'!E15+'مواد انشائيه3'!G15+'مواد انشائيه4'!C15+'مواد انشائيه4'!E15+'مواد انشائيه4'!G15</f>
        <v>2603669</v>
      </c>
      <c r="J15" s="826" t="s">
        <v>24</v>
      </c>
      <c r="K15" s="828"/>
      <c r="L15" s="828"/>
    </row>
    <row r="16" spans="1:12" s="313" customFormat="1" ht="15" customHeight="1" x14ac:dyDescent="0.2">
      <c r="A16" s="835" t="s">
        <v>11</v>
      </c>
      <c r="B16" s="836">
        <v>0</v>
      </c>
      <c r="C16" s="836">
        <v>0</v>
      </c>
      <c r="D16" s="836">
        <v>0</v>
      </c>
      <c r="E16" s="836">
        <v>0</v>
      </c>
      <c r="F16" s="836">
        <v>0</v>
      </c>
      <c r="G16" s="836">
        <v>0</v>
      </c>
      <c r="H16" s="760">
        <f>'مواد انشائيه1'!B16+'مواد انشائيه1'!D16+'مواد انشائيه1'!F16+'مواد انشائيه1'!H16+'مواد انشائيه2'!B16+'مواد انشائيه2'!D16+'مواد انشائيه2'!F16+'مواد انشائيه2'!H16+'مواد انشائيه2'!J16+'مواد انشائيه3'!B16+'مواد انشائيه3'!D16+'مواد انشائيه3'!F16+'مواد انشائيه4'!B16+'مواد انشائيه4'!D16+'مواد انشائيه4'!F16</f>
        <v>121624</v>
      </c>
      <c r="I16" s="783">
        <f>'مواد انشائيه1'!C16+'مواد انشائيه1'!E16+'مواد انشائيه1'!G16+'مواد انشائيه1'!I16+'مواد انشائيه2'!C16+'مواد انشائيه2'!E16+'مواد انشائيه2'!G16+'مواد انشائيه2'!I16+'مواد انشائيه2'!K16+'مواد انشائيه3'!C16+'مواد انشائيه3'!E16+'مواد انشائيه3'!G16+'مواد انشائيه4'!C16+'مواد انشائيه4'!E16+'مواد انشائيه4'!G16</f>
        <v>1273448</v>
      </c>
      <c r="J16" s="837" t="s">
        <v>21</v>
      </c>
      <c r="K16" s="828"/>
      <c r="L16" s="828"/>
    </row>
    <row r="17" spans="1:12" s="313" customFormat="1" ht="15" customHeight="1" x14ac:dyDescent="0.2">
      <c r="A17" s="824" t="s">
        <v>2</v>
      </c>
      <c r="B17" s="825">
        <v>0</v>
      </c>
      <c r="C17" s="825">
        <v>0</v>
      </c>
      <c r="D17" s="825">
        <v>0</v>
      </c>
      <c r="E17" s="825">
        <v>0</v>
      </c>
      <c r="F17" s="825">
        <v>56</v>
      </c>
      <c r="G17" s="829">
        <v>2436</v>
      </c>
      <c r="H17" s="722">
        <f>'مواد انشائيه1'!B17+'مواد انشائيه1'!D17+'مواد انشائيه1'!F17+'مواد انشائيه1'!H17+'مواد انشائيه2'!B17+'مواد انشائيه2'!D17+'مواد انشائيه2'!F17+'مواد انشائيه2'!H17+'مواد انشائيه2'!J17+'مواد انشائيه3'!B17+'مواد انشائيه3'!D17+'مواد انشائيه3'!F17+'مواد انشائيه4'!B17+'مواد انشائيه4'!D17+'مواد انشائيه4'!F17</f>
        <v>125084</v>
      </c>
      <c r="I17" s="727">
        <f>'مواد انشائيه1'!C17+'مواد انشائيه1'!E17+'مواد انشائيه1'!G17+'مواد انشائيه1'!I17+'مواد انشائيه2'!C17+'مواد انشائيه2'!E17+'مواد انشائيه2'!G17+'مواد انشائيه2'!I17+'مواد انشائيه2'!K17+'مواد انشائيه3'!C17+'مواد انشائيه3'!E17+'مواد انشائيه3'!G17+'مواد انشائيه4'!C17+'مواد انشائيه4'!E17+'مواد انشائيه4'!G17</f>
        <v>1263692</v>
      </c>
      <c r="J17" s="826" t="s">
        <v>14</v>
      </c>
      <c r="K17" s="828"/>
      <c r="L17" s="828"/>
    </row>
    <row r="18" spans="1:12" s="313" customFormat="1" ht="15" customHeight="1" x14ac:dyDescent="0.2">
      <c r="A18" s="835" t="s">
        <v>7</v>
      </c>
      <c r="B18" s="836">
        <v>0</v>
      </c>
      <c r="C18" s="836">
        <v>0</v>
      </c>
      <c r="D18" s="836">
        <v>0</v>
      </c>
      <c r="E18" s="836">
        <v>0</v>
      </c>
      <c r="F18" s="836">
        <v>0</v>
      </c>
      <c r="G18" s="838">
        <v>0</v>
      </c>
      <c r="H18" s="760">
        <f>'مواد انشائيه1'!B18+'مواد انشائيه1'!D18+'مواد انشائيه1'!F18+'مواد انشائيه1'!H18+'مواد انشائيه2'!B18+'مواد انشائيه2'!D18+'مواد انشائيه2'!F18+'مواد انشائيه2'!H18+'مواد انشائيه2'!J18+'مواد انشائيه3'!B18+'مواد انشائيه3'!D18+'مواد انشائيه3'!F18+'مواد انشائيه4'!B18+'مواد انشائيه4'!D18+'مواد انشائيه4'!F18</f>
        <v>438722</v>
      </c>
      <c r="I18" s="783">
        <f>'مواد انشائيه1'!C18+'مواد انشائيه1'!E18+'مواد انشائيه1'!G18+'مواد انشائيه1'!I18+'مواد انشائيه2'!C18+'مواد انشائيه2'!E18+'مواد انشائيه2'!G18+'مواد انشائيه2'!I18+'مواد انشائيه2'!K18+'مواد انشائيه3'!C18+'مواد انشائيه3'!E18+'مواد انشائيه3'!G18+'مواد انشائيه4'!C18+'مواد انشائيه4'!E18+'مواد انشائيه4'!G18</f>
        <v>4296095</v>
      </c>
      <c r="J18" s="837" t="s">
        <v>17</v>
      </c>
      <c r="K18" s="828"/>
      <c r="L18" s="828"/>
    </row>
    <row r="19" spans="1:12" s="313" customFormat="1" ht="15" customHeight="1" x14ac:dyDescent="0.2">
      <c r="A19" s="824" t="s">
        <v>8</v>
      </c>
      <c r="B19" s="825">
        <v>0</v>
      </c>
      <c r="C19" s="825">
        <v>0</v>
      </c>
      <c r="D19" s="825">
        <v>0</v>
      </c>
      <c r="E19" s="825">
        <v>0</v>
      </c>
      <c r="F19" s="825">
        <v>0</v>
      </c>
      <c r="G19" s="829">
        <v>0</v>
      </c>
      <c r="H19" s="722">
        <f>'مواد انشائيه1'!B19+'مواد انشائيه1'!D19+'مواد انشائيه1'!F19+'مواد انشائيه1'!H19+'مواد انشائيه2'!B19+'مواد انشائيه2'!D19+'مواد انشائيه2'!F19+'مواد انشائيه2'!H19+'مواد انشائيه2'!J19+'مواد انشائيه3'!B19+'مواد انشائيه3'!D19+'مواد انشائيه3'!F19+'مواد انشائيه4'!B19+'مواد انشائيه4'!D19+'مواد انشائيه4'!F19</f>
        <v>274746</v>
      </c>
      <c r="I19" s="727">
        <f>'مواد انشائيه1'!C19+'مواد انشائيه1'!E19+'مواد انشائيه1'!G19+'مواد انشائيه1'!I19+'مواد انشائيه2'!C19+'مواد انشائيه2'!E19+'مواد انشائيه2'!G19+'مواد انشائيه2'!I19+'مواد انشائيه2'!K19+'مواد انشائيه3'!C19+'مواد انشائيه3'!E19+'مواد انشائيه3'!G19+'مواد انشائيه4'!C19+'مواد انشائيه4'!E19+'مواد انشائيه4'!G19</f>
        <v>1489620</v>
      </c>
      <c r="J19" s="826" t="s">
        <v>18</v>
      </c>
      <c r="K19" s="828"/>
      <c r="L19" s="828"/>
    </row>
    <row r="20" spans="1:12" s="313" customFormat="1" ht="15" customHeight="1" x14ac:dyDescent="0.2">
      <c r="A20" s="835" t="s">
        <v>9</v>
      </c>
      <c r="B20" s="836">
        <v>0</v>
      </c>
      <c r="C20" s="836">
        <v>0</v>
      </c>
      <c r="D20" s="836">
        <v>0</v>
      </c>
      <c r="E20" s="836">
        <v>0</v>
      </c>
      <c r="F20" s="836">
        <v>0</v>
      </c>
      <c r="G20" s="838">
        <v>0</v>
      </c>
      <c r="H20" s="760">
        <f>'مواد انشائيه1'!B20+'مواد انشائيه1'!D20+'مواد انشائيه1'!F20+'مواد انشائيه1'!H20+'مواد انشائيه2'!B20+'مواد انشائيه2'!D20+'مواد انشائيه2'!F20+'مواد انشائيه2'!H20+'مواد انشائيه2'!J20+'مواد انشائيه3'!B20+'مواد انشائيه3'!D20+'مواد انشائيه3'!F20+'مواد انشائيه4'!B20+'مواد انشائيه4'!D20+'مواد انشائيه4'!F20</f>
        <v>244625</v>
      </c>
      <c r="I20" s="783">
        <f>'مواد انشائيه1'!C20+'مواد انشائيه1'!E20+'مواد انشائيه1'!G20+'مواد انشائيه1'!I20+'مواد انشائيه2'!C20+'مواد انشائيه2'!E20+'مواد انشائيه2'!G20+'مواد انشائيه2'!I20+'مواد انشائيه2'!K20+'مواد انشائيه3'!C20+'مواد انشائيه3'!E20+'مواد انشائيه3'!G20+'مواد انشائيه4'!C20+'مواد انشائيه4'!E20+'مواد انشائيه4'!G20</f>
        <v>1646982</v>
      </c>
      <c r="J20" s="837" t="s">
        <v>19</v>
      </c>
      <c r="K20" s="828"/>
      <c r="L20" s="828"/>
    </row>
    <row r="21" spans="1:12" s="313" customFormat="1" ht="15" customHeight="1" x14ac:dyDescent="0.2">
      <c r="A21" s="824" t="s">
        <v>10</v>
      </c>
      <c r="B21" s="825">
        <v>0</v>
      </c>
      <c r="C21" s="825">
        <v>0</v>
      </c>
      <c r="D21" s="825">
        <v>0</v>
      </c>
      <c r="E21" s="825">
        <v>0</v>
      </c>
      <c r="F21" s="825">
        <v>0</v>
      </c>
      <c r="G21" s="825">
        <v>0</v>
      </c>
      <c r="H21" s="722">
        <f>'مواد انشائيه1'!B21+'مواد انشائيه1'!D21+'مواد انشائيه1'!F21+'مواد انشائيه1'!H21+'مواد انشائيه2'!B21+'مواد انشائيه2'!D21+'مواد انشائيه2'!F21+'مواد انشائيه2'!H21+'مواد انشائيه2'!J21+'مواد انشائيه3'!B21+'مواد انشائيه3'!D21+'مواد انشائيه3'!F21+'مواد انشائيه4'!B21+'مواد انشائيه4'!D21+'مواد انشائيه4'!F21</f>
        <v>434668</v>
      </c>
      <c r="I21" s="727">
        <f>'مواد انشائيه1'!C21+'مواد انشائيه1'!E21+'مواد انشائيه1'!G21+'مواد انشائيه1'!I21+'مواد انشائيه2'!C21+'مواد انشائيه2'!E21+'مواد انشائيه2'!G21+'مواد انشائيه2'!I21+'مواد انشائيه2'!K21+'مواد انشائيه3'!C21+'مواد انشائيه3'!E21+'مواد انشائيه3'!G21+'مواد انشائيه4'!C21+'مواد انشائيه4'!E21+'مواد انشائيه4'!G21</f>
        <v>2555956</v>
      </c>
      <c r="J21" s="826" t="s">
        <v>20</v>
      </c>
      <c r="K21" s="828"/>
      <c r="L21" s="828"/>
    </row>
    <row r="22" spans="1:12" s="313" customFormat="1" ht="15" customHeight="1" x14ac:dyDescent="0.2">
      <c r="A22" s="835" t="s">
        <v>12</v>
      </c>
      <c r="B22" s="836">
        <v>0</v>
      </c>
      <c r="C22" s="836">
        <v>0</v>
      </c>
      <c r="D22" s="836">
        <v>0</v>
      </c>
      <c r="E22" s="836">
        <v>0</v>
      </c>
      <c r="F22" s="836">
        <v>0</v>
      </c>
      <c r="G22" s="836">
        <v>0</v>
      </c>
      <c r="H22" s="760">
        <f>'مواد انشائيه1'!B22+'مواد انشائيه1'!D22+'مواد انشائيه1'!F22+'مواد انشائيه1'!H22+'مواد انشائيه2'!B22+'مواد انشائيه2'!D22+'مواد انشائيه2'!F22+'مواد انشائيه2'!H22+'مواد انشائيه2'!J22+'مواد انشائيه3'!B22+'مواد انشائيه3'!D22+'مواد انشائيه3'!F22+'مواد انشائيه4'!B22+'مواد انشائيه4'!D22+'مواد انشائيه4'!F22</f>
        <v>61416</v>
      </c>
      <c r="I22" s="783">
        <f>'مواد انشائيه1'!C22+'مواد انشائيه1'!E22+'مواد انشائيه1'!G22+'مواد انشائيه1'!I22+'مواد انشائيه2'!C22+'مواد انشائيه2'!E22+'مواد انشائيه2'!G22+'مواد انشائيه2'!I22+'مواد انشائيه2'!K22+'مواد انشائيه3'!C22+'مواد انشائيه3'!E22+'مواد انشائيه3'!G22+'مواد انشائيه4'!C22+'مواد انشائيه4'!E22+'مواد انشائيه4'!G22</f>
        <v>390090</v>
      </c>
      <c r="J22" s="837" t="s">
        <v>25</v>
      </c>
      <c r="K22" s="828"/>
      <c r="L22" s="828"/>
    </row>
    <row r="23" spans="1:12" s="313" customFormat="1" ht="15" customHeight="1" thickBot="1" x14ac:dyDescent="0.25">
      <c r="A23" s="824" t="s">
        <v>13</v>
      </c>
      <c r="B23" s="825">
        <v>0</v>
      </c>
      <c r="C23" s="825">
        <v>0</v>
      </c>
      <c r="D23" s="825">
        <v>0</v>
      </c>
      <c r="E23" s="825">
        <v>0</v>
      </c>
      <c r="F23" s="825">
        <v>339</v>
      </c>
      <c r="G23" s="829">
        <v>15459</v>
      </c>
      <c r="H23" s="722">
        <f>'مواد انشائيه1'!B23+'مواد انشائيه1'!D23+'مواد انشائيه1'!F23+'مواد انشائيه1'!H23+'مواد انشائيه2'!B23+'مواد انشائيه2'!D23+'مواد انشائيه2'!F23+'مواد انشائيه2'!H23+'مواد انشائيه2'!J23+'مواد انشائيه3'!B23+'مواد انشائيه3'!D23+'مواد انشائيه3'!F23+'مواد انشائيه4'!B23+'مواد انشائيه4'!D23+'مواد انشائيه4'!F23</f>
        <v>625846</v>
      </c>
      <c r="I23" s="727">
        <f>'مواد انشائيه1'!C23+'مواد انشائيه1'!E23+'مواد انشائيه1'!G23+'مواد انشائيه1'!I23+'مواد انشائيه2'!C23+'مواد انشائيه2'!E23+'مواد انشائيه2'!G23+'مواد انشائيه2'!I23+'مواد انشائيه2'!K23+'مواد انشائيه3'!C23+'مواد انشائيه3'!E23+'مواد انشائيه3'!G23+'مواد انشائيه4'!C23+'مواد انشائيه4'!E23+'مواد انشائيه4'!G23</f>
        <v>5580406</v>
      </c>
      <c r="J23" s="826" t="s">
        <v>22</v>
      </c>
      <c r="K23" s="828"/>
      <c r="L23" s="828"/>
    </row>
    <row r="24" spans="1:12" s="537" customFormat="1" ht="20.25" customHeight="1" thickBot="1" x14ac:dyDescent="0.25">
      <c r="A24" s="830" t="s">
        <v>0</v>
      </c>
      <c r="B24" s="831">
        <f t="shared" ref="B24:G24" si="0">SUM(B9:B23)</f>
        <v>34939</v>
      </c>
      <c r="C24" s="831">
        <f t="shared" si="0"/>
        <v>473601</v>
      </c>
      <c r="D24" s="831">
        <f t="shared" si="0"/>
        <v>46570</v>
      </c>
      <c r="E24" s="831">
        <f t="shared" si="0"/>
        <v>658748</v>
      </c>
      <c r="F24" s="831">
        <f t="shared" si="0"/>
        <v>36246</v>
      </c>
      <c r="G24" s="831">
        <f t="shared" si="0"/>
        <v>1460072</v>
      </c>
      <c r="H24" s="831">
        <f>SUM(H9:H23)</f>
        <v>6259073</v>
      </c>
      <c r="I24" s="831">
        <f>SUM(I9:I23)</f>
        <v>206044613</v>
      </c>
      <c r="J24" s="832" t="s">
        <v>1</v>
      </c>
      <c r="K24" s="833"/>
      <c r="L24" s="833"/>
    </row>
    <row r="25" spans="1:12" s="7" customFormat="1" ht="20.25" customHeight="1" x14ac:dyDescent="0.2">
      <c r="A25" s="889"/>
      <c r="B25" s="889"/>
      <c r="C25" s="889"/>
      <c r="D25" s="889"/>
      <c r="E25" s="889"/>
      <c r="F25" s="889"/>
      <c r="G25" s="889"/>
      <c r="H25" s="296"/>
      <c r="I25" s="296"/>
      <c r="J25" s="53"/>
    </row>
    <row r="26" spans="1:12" ht="14.25" x14ac:dyDescent="0.2">
      <c r="C26" s="7"/>
      <c r="D26" s="7"/>
      <c r="E26" s="7"/>
      <c r="F26" s="7"/>
      <c r="G26" s="7"/>
      <c r="J26" s="197"/>
    </row>
    <row r="27" spans="1:12" ht="15" x14ac:dyDescent="0.25">
      <c r="A27" s="908"/>
      <c r="B27" s="908"/>
      <c r="C27" s="7"/>
      <c r="D27" s="7"/>
      <c r="E27" s="7"/>
      <c r="F27" s="7"/>
      <c r="G27" s="7"/>
      <c r="J27" s="297"/>
      <c r="K27" s="7"/>
    </row>
    <row r="28" spans="1:12" x14ac:dyDescent="0.2">
      <c r="J28" s="7"/>
      <c r="K28" s="7"/>
    </row>
    <row r="29" spans="1:12" x14ac:dyDescent="0.2">
      <c r="J29" s="7"/>
      <c r="K29" s="7"/>
    </row>
    <row r="30" spans="1:12" ht="13.5" customHeight="1" x14ac:dyDescent="0.2"/>
  </sheetData>
  <mergeCells count="15">
    <mergeCell ref="H5:I5"/>
    <mergeCell ref="H6:I6"/>
    <mergeCell ref="A27:B27"/>
    <mergeCell ref="B5:C5"/>
    <mergeCell ref="D5:E5"/>
    <mergeCell ref="F5:G5"/>
    <mergeCell ref="F6:G6"/>
    <mergeCell ref="A25:G25"/>
    <mergeCell ref="D6:E6"/>
    <mergeCell ref="B6:C6"/>
    <mergeCell ref="A1:J1"/>
    <mergeCell ref="A2:J2"/>
    <mergeCell ref="A4:B4"/>
    <mergeCell ref="C4:E4"/>
    <mergeCell ref="F4:G4"/>
  </mergeCells>
  <phoneticPr fontId="3" type="noConversion"/>
  <printOptions horizontalCentered="1" verticalCentered="1"/>
  <pageMargins left="0.49" right="1.0236220472440944" top="0.94" bottom="0.98425196850393704" header="0.47" footer="0.51181102362204722"/>
  <pageSetup scale="92" orientation="landscape" verticalDpi="300" r:id="rId1"/>
  <headerFooter alignWithMargins="0">
    <oddFooter>&amp;C49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D23"/>
  <sheetViews>
    <sheetView rightToLeft="1" zoomScaleSheetLayoutView="100" workbookViewId="0">
      <selection activeCell="B25" sqref="B25"/>
    </sheetView>
  </sheetViews>
  <sheetFormatPr defaultRowHeight="12.75" x14ac:dyDescent="0.2"/>
  <cols>
    <col min="1" max="1" width="16.5703125" customWidth="1"/>
    <col min="2" max="2" width="21.5703125" customWidth="1"/>
    <col min="3" max="3" width="24.85546875" customWidth="1"/>
    <col min="4" max="4" width="19.140625" customWidth="1"/>
    <col min="5" max="5" width="16.85546875" customWidth="1"/>
    <col min="6" max="6" width="0.140625" hidden="1" customWidth="1"/>
    <col min="7" max="7" width="3.5703125" hidden="1" customWidth="1"/>
    <col min="8" max="8" width="3" customWidth="1"/>
    <col min="9" max="9" width="18.85546875" customWidth="1"/>
    <col min="10" max="11" width="9.140625" hidden="1" customWidth="1"/>
    <col min="12" max="12" width="1.7109375" customWidth="1"/>
    <col min="13" max="13" width="9" hidden="1" customWidth="1"/>
    <col min="14" max="14" width="6.5703125" hidden="1" customWidth="1"/>
    <col min="15" max="15" width="33" customWidth="1"/>
  </cols>
  <sheetData>
    <row r="1" spans="1:30" ht="15" x14ac:dyDescent="0.2">
      <c r="A1" s="850" t="s">
        <v>487</v>
      </c>
      <c r="B1" s="850"/>
      <c r="C1" s="850"/>
      <c r="D1" s="850"/>
      <c r="E1" s="850"/>
    </row>
    <row r="2" spans="1:30" ht="36.75" customHeight="1" x14ac:dyDescent="0.2">
      <c r="A2" s="858" t="s">
        <v>488</v>
      </c>
      <c r="B2" s="858"/>
      <c r="C2" s="858"/>
      <c r="D2" s="858"/>
      <c r="E2" s="858"/>
    </row>
    <row r="3" spans="1:30" s="7" customFormat="1" ht="14.25" customHeight="1" x14ac:dyDescent="0.25">
      <c r="A3" s="220"/>
      <c r="B3" s="220"/>
      <c r="C3" s="220"/>
      <c r="D3" s="873" t="s">
        <v>215</v>
      </c>
      <c r="E3" s="873"/>
    </row>
    <row r="4" spans="1:30" ht="19.5" customHeight="1" thickBot="1" x14ac:dyDescent="0.25">
      <c r="A4" s="954" t="s">
        <v>96</v>
      </c>
      <c r="B4" s="954"/>
      <c r="C4" s="75"/>
      <c r="D4" s="17"/>
      <c r="E4" s="78" t="s">
        <v>97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30" s="574" customFormat="1" ht="15" customHeight="1" x14ac:dyDescent="0.25">
      <c r="A5" s="622"/>
      <c r="B5" s="623" t="s">
        <v>98</v>
      </c>
      <c r="C5" s="623" t="s">
        <v>99</v>
      </c>
      <c r="D5" s="623" t="s">
        <v>100</v>
      </c>
      <c r="E5" s="624"/>
      <c r="F5" s="485"/>
      <c r="G5" s="485"/>
      <c r="H5" s="485"/>
      <c r="I5" s="485"/>
      <c r="J5" s="485"/>
      <c r="K5" s="485"/>
      <c r="L5" s="485"/>
      <c r="M5" s="485"/>
      <c r="N5" s="485"/>
      <c r="O5" s="485"/>
      <c r="P5" s="485"/>
      <c r="Q5" s="485"/>
      <c r="R5" s="485"/>
      <c r="S5" s="485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</row>
    <row r="6" spans="1:30" s="400" customFormat="1" ht="45.75" customHeight="1" thickBot="1" x14ac:dyDescent="0.3">
      <c r="A6" s="366" t="s">
        <v>50</v>
      </c>
      <c r="B6" s="450" t="s">
        <v>349</v>
      </c>
      <c r="C6" s="450" t="s">
        <v>101</v>
      </c>
      <c r="D6" s="450" t="s">
        <v>348</v>
      </c>
      <c r="E6" s="395" t="s">
        <v>26</v>
      </c>
    </row>
    <row r="7" spans="1:30" s="313" customFormat="1" ht="15" customHeight="1" x14ac:dyDescent="0.2">
      <c r="A7" s="822" t="s">
        <v>380</v>
      </c>
      <c r="B7" s="635">
        <f>طابوق!K9+بلوك!I9+حجر!G10+حصى!G11+رمل!G10+سمنت!I9+جص!G10+كاشي2!J9+حديد!G9+ابواب!K9+شبابيك!I9+ت.كهربائيه2!G9+ت.صحيه3!I9+'الكلفه الكليه'!I9</f>
        <v>7536148.9129999997</v>
      </c>
      <c r="C7" s="635">
        <v>5959223</v>
      </c>
      <c r="D7" s="635">
        <f>B7+C7</f>
        <v>13495371.912999999</v>
      </c>
      <c r="E7" s="823" t="s">
        <v>381</v>
      </c>
    </row>
    <row r="8" spans="1:30" s="313" customFormat="1" ht="15" customHeight="1" x14ac:dyDescent="0.2">
      <c r="A8" s="821" t="s">
        <v>30</v>
      </c>
      <c r="B8" s="85">
        <f>طابوق!K10+بلوك!I10+حجر!G11+حصى!G12+رمل!G11+سمنت!I10+جص!G11+كاشي2!J10+حديد!G10+ابواب!K10+شبابيك!I10+ت.كهربائيه2!G10+ت.صحيه3!I10+'الكلفه الكليه'!I10</f>
        <v>23818192.638999999</v>
      </c>
      <c r="C8" s="85">
        <v>26130131</v>
      </c>
      <c r="D8" s="85">
        <f t="shared" ref="D8:D21" si="0">B8+C8</f>
        <v>49948323.638999999</v>
      </c>
      <c r="E8" s="10" t="s">
        <v>31</v>
      </c>
    </row>
    <row r="9" spans="1:30" s="313" customFormat="1" ht="15" customHeight="1" x14ac:dyDescent="0.2">
      <c r="A9" s="486" t="s">
        <v>3</v>
      </c>
      <c r="B9" s="479">
        <f>طابوق!K11+بلوك!I11+حجر!G12+حصى!G13+رمل!G12+سمنت!I11+جص!G12+كاشي2!J11+حديد!G11+ابواب!K11+شبابيك!I11+ت.كهربائيه2!G11+ت.صحيه3!I11+'الكلفه الكليه'!I11</f>
        <v>31361264.077</v>
      </c>
      <c r="C9" s="479">
        <v>63674505</v>
      </c>
      <c r="D9" s="479">
        <f t="shared" si="0"/>
        <v>95035769.076999992</v>
      </c>
      <c r="E9" s="487" t="s">
        <v>15</v>
      </c>
    </row>
    <row r="10" spans="1:30" s="313" customFormat="1" ht="15" customHeight="1" x14ac:dyDescent="0.2">
      <c r="A10" s="821" t="s">
        <v>365</v>
      </c>
      <c r="B10" s="85">
        <f>طابوق!K12+بلوك!I12+حجر!G13+حصى!G14+رمل!G13+سمنت!I12+جص!G13+كاشي2!J12+حديد!G12+ابواب!K12+شبابيك!I12+ت.كهربائيه2!G12+ت.صحيه3!I12+'الكلفه الكليه'!I12</f>
        <v>10891959.494999999</v>
      </c>
      <c r="C10" s="85">
        <v>5327297</v>
      </c>
      <c r="D10" s="85">
        <f t="shared" si="0"/>
        <v>16219256.494999999</v>
      </c>
      <c r="E10" s="10" t="s">
        <v>359</v>
      </c>
    </row>
    <row r="11" spans="1:30" s="313" customFormat="1" ht="15" customHeight="1" x14ac:dyDescent="0.2">
      <c r="A11" s="478" t="s">
        <v>4</v>
      </c>
      <c r="B11" s="479">
        <f>طابوق!K13+بلوك!I13+حجر!G14+حصى!G15+رمل!G14+سمنت!I13+جص!G14+كاشي2!J13+حديد!G13+ابواب!K13+شبابيك!I13+ت.كهربائيه2!G13+ت.صحيه3!I13+'الكلفه الكليه'!I13</f>
        <v>201303913.87400001</v>
      </c>
      <c r="C11" s="479">
        <v>308462067</v>
      </c>
      <c r="D11" s="479">
        <f t="shared" si="0"/>
        <v>509765980.87400001</v>
      </c>
      <c r="E11" s="483" t="s">
        <v>16</v>
      </c>
    </row>
    <row r="12" spans="1:30" s="313" customFormat="1" ht="15" customHeight="1" x14ac:dyDescent="0.2">
      <c r="A12" s="695" t="s">
        <v>5</v>
      </c>
      <c r="B12" s="85">
        <f>طابوق!K14+بلوك!I14+حجر!G15+حصى!G16+رمل!G15+سمنت!I14+جص!G15+كاشي2!J14+حديد!G14+ابواب!K14+شبابيك!I14+ت.كهربائيه2!G14+ت.صحيه3!I14+'الكلفه الكليه'!I14</f>
        <v>31884672.581999999</v>
      </c>
      <c r="C12" s="85">
        <v>19573897</v>
      </c>
      <c r="D12" s="85">
        <f t="shared" si="0"/>
        <v>51458569.582000002</v>
      </c>
      <c r="E12" s="647" t="s">
        <v>23</v>
      </c>
    </row>
    <row r="13" spans="1:30" s="313" customFormat="1" ht="15" customHeight="1" x14ac:dyDescent="0.2">
      <c r="A13" s="478" t="s">
        <v>6</v>
      </c>
      <c r="B13" s="479">
        <f>طابوق!K15+بلوك!I15+حجر!G16+حصى!G17+رمل!G16+سمنت!I15+جص!G16+كاشي2!J15+حديد!G15+ابواب!K15+شبابيك!I15+ت.كهربائيه2!G15+ت.صحيه3!I15+'الكلفه الكليه'!I15</f>
        <v>18457099.524999999</v>
      </c>
      <c r="C13" s="479">
        <v>13411050</v>
      </c>
      <c r="D13" s="479">
        <f t="shared" si="0"/>
        <v>31868149.524999999</v>
      </c>
      <c r="E13" s="483" t="s">
        <v>24</v>
      </c>
    </row>
    <row r="14" spans="1:30" s="313" customFormat="1" ht="12.75" customHeight="1" x14ac:dyDescent="0.2">
      <c r="A14" s="695" t="s">
        <v>11</v>
      </c>
      <c r="B14" s="85">
        <f>طابوق!K16+بلوك!I16+حجر!G17+حصى!G18+رمل!G17+سمنت!I16+جص!G17+كاشي2!J16+حديد!G16+ابواب!K16+شبابيك!I16+ت.كهربائيه2!G16+ت.صحيه3!I16+'الكلفه الكليه'!I16</f>
        <v>57749977.924000002</v>
      </c>
      <c r="C14" s="85">
        <v>20042833</v>
      </c>
      <c r="D14" s="85">
        <f t="shared" si="0"/>
        <v>77792810.923999995</v>
      </c>
      <c r="E14" s="647" t="s">
        <v>21</v>
      </c>
    </row>
    <row r="15" spans="1:30" s="313" customFormat="1" ht="21.75" customHeight="1" x14ac:dyDescent="0.2">
      <c r="A15" s="478" t="s">
        <v>2</v>
      </c>
      <c r="B15" s="479">
        <f>طابوق!K17+بلوك!I17+حجر!G18+حصى!G19+رمل!G18+سمنت!I17+جص!G18+كاشي2!J17+حديد!G17+ابواب!K17+شبابيك!I17+ت.كهربائيه2!G17+ت.صحيه3!I17+'الكلفه الكليه'!I17</f>
        <v>15819073.395</v>
      </c>
      <c r="C15" s="479">
        <v>10892197</v>
      </c>
      <c r="D15" s="479">
        <f t="shared" si="0"/>
        <v>26711270.395</v>
      </c>
      <c r="E15" s="500" t="s">
        <v>14</v>
      </c>
    </row>
    <row r="16" spans="1:30" s="313" customFormat="1" ht="15" customHeight="1" x14ac:dyDescent="0.2">
      <c r="A16" s="695" t="s">
        <v>7</v>
      </c>
      <c r="B16" s="85">
        <f>طابوق!K18+بلوك!I18+حجر!G19+حصى!G20+رمل!G19+سمنت!I18+جص!G19+كاشي2!J18+حديد!G18+ابواب!K18+شبابيك!I18+ت.كهربائيه2!G18+ت.صحيه3!I18+'الكلفه الكليه'!I18</f>
        <v>33397550.32</v>
      </c>
      <c r="C16" s="85">
        <v>32337315</v>
      </c>
      <c r="D16" s="85">
        <f t="shared" si="0"/>
        <v>65734865.32</v>
      </c>
      <c r="E16" s="647" t="s">
        <v>17</v>
      </c>
    </row>
    <row r="17" spans="1:5" s="313" customFormat="1" ht="14.25" customHeight="1" x14ac:dyDescent="0.2">
      <c r="A17" s="822" t="s">
        <v>8</v>
      </c>
      <c r="B17" s="635">
        <f>طابوق!K19+بلوك!I19+حجر!G20+حصى!G21+رمل!G20+سمنت!I19+جص!G20+كاشي2!J19+حديد!G19+ابواب!K19+شبابيك!I19+ت.كهربائيه2!G19+ت.صحيه3!I19+'الكلفه الكليه'!I19</f>
        <v>15605935.933</v>
      </c>
      <c r="C17" s="635">
        <v>6754784</v>
      </c>
      <c r="D17" s="635">
        <f t="shared" si="0"/>
        <v>22360719.932999998</v>
      </c>
      <c r="E17" s="823" t="s">
        <v>18</v>
      </c>
    </row>
    <row r="18" spans="1:5" s="313" customFormat="1" ht="16.5" customHeight="1" x14ac:dyDescent="0.2">
      <c r="A18" s="695" t="s">
        <v>9</v>
      </c>
      <c r="B18" s="85">
        <f>طابوق!K20+بلوك!I20+حجر!G21+حصى!G22+رمل!G21+سمنت!I20+جص!G21+كاشي2!J20+حديد!G20+ابواب!K20+شبابيك!I20+ت.كهربائيه2!G20+ت.صحيه3!I20+'الكلفه الكليه'!I20</f>
        <v>10843480.585000001</v>
      </c>
      <c r="C18" s="85">
        <v>15638322</v>
      </c>
      <c r="D18" s="85">
        <f t="shared" si="0"/>
        <v>26481802.585000001</v>
      </c>
      <c r="E18" s="647" t="s">
        <v>19</v>
      </c>
    </row>
    <row r="19" spans="1:5" s="313" customFormat="1" ht="16.5" customHeight="1" x14ac:dyDescent="0.2">
      <c r="A19" s="478" t="s">
        <v>10</v>
      </c>
      <c r="B19" s="479">
        <f>طابوق!K21+بلوك!I21+حجر!G22+حصى!G23+رمل!G22+سمنت!I21+جص!G22+كاشي2!J21+حديد!G21+ابواب!K21+شبابيك!I21+ت.كهربائيه2!G21+ت.صحيه3!I21+'الكلفه الكليه'!I21</f>
        <v>28069963.182000004</v>
      </c>
      <c r="C19" s="479">
        <v>12550738</v>
      </c>
      <c r="D19" s="479">
        <f t="shared" si="0"/>
        <v>40620701.182000004</v>
      </c>
      <c r="E19" s="483" t="s">
        <v>20</v>
      </c>
    </row>
    <row r="20" spans="1:5" s="313" customFormat="1" ht="15" customHeight="1" x14ac:dyDescent="0.2">
      <c r="A20" s="695" t="s">
        <v>12</v>
      </c>
      <c r="B20" s="85">
        <f>طابوق!K22+بلوك!I22+حجر!G23+حصى!G24+رمل!G23+سمنت!I22+جص!G23+كاشي2!J22+حديد!G22+ابواب!K22+شبابيك!I22+ت.كهربائيه2!G22+ت.صحيه3!I22+'الكلفه الكليه'!I22</f>
        <v>4337363.301</v>
      </c>
      <c r="C20" s="85">
        <v>4268231</v>
      </c>
      <c r="D20" s="85">
        <f t="shared" si="0"/>
        <v>8605594.300999999</v>
      </c>
      <c r="E20" s="647" t="s">
        <v>25</v>
      </c>
    </row>
    <row r="21" spans="1:5" s="313" customFormat="1" ht="15" customHeight="1" thickBot="1" x14ac:dyDescent="0.25">
      <c r="A21" s="478" t="s">
        <v>13</v>
      </c>
      <c r="B21" s="479">
        <f>طابوق!K23+بلوك!I23+حجر!G24+حصى!G25+رمل!G24+سمنت!I23+جص!G24+كاشي2!J23+حديد!G23+ابواب!K23+شبابيك!I23+ت.كهربائيه2!G23+ت.صحيه3!I23+'الكلفه الكليه'!I23</f>
        <v>40952804.967</v>
      </c>
      <c r="C21" s="479">
        <v>61173957</v>
      </c>
      <c r="D21" s="479">
        <f t="shared" si="0"/>
        <v>102126761.96700001</v>
      </c>
      <c r="E21" s="483" t="s">
        <v>22</v>
      </c>
    </row>
    <row r="22" spans="1:5" s="537" customFormat="1" ht="19.5" customHeight="1" thickBot="1" x14ac:dyDescent="0.25">
      <c r="A22" s="503" t="s">
        <v>0</v>
      </c>
      <c r="B22" s="534">
        <f>SUM(B7:B21)</f>
        <v>532029400.71200001</v>
      </c>
      <c r="C22" s="534">
        <f>SUM(C7:C21)</f>
        <v>606196547</v>
      </c>
      <c r="D22" s="534">
        <f>SUM(D7:D21)</f>
        <v>1138225947.7120001</v>
      </c>
      <c r="E22" s="504" t="s">
        <v>1</v>
      </c>
    </row>
    <row r="23" spans="1:5" ht="14.25" x14ac:dyDescent="0.2">
      <c r="C23" s="7"/>
      <c r="D23" s="7"/>
      <c r="E23" s="197"/>
    </row>
  </sheetData>
  <mergeCells count="4">
    <mergeCell ref="A1:E1"/>
    <mergeCell ref="A2:E2"/>
    <mergeCell ref="A4:B4"/>
    <mergeCell ref="D3:E3"/>
  </mergeCells>
  <phoneticPr fontId="3" type="noConversion"/>
  <printOptions horizontalCentered="1" verticalCentered="1"/>
  <pageMargins left="1.0900000000000001" right="1.1599999999999999" top="0" bottom="0.98425196850393704" header="0.78740157480314998" footer="0.511811023622047"/>
  <pageSetup scale="98" orientation="landscape" horizontalDpi="4294967293" verticalDpi="300" r:id="rId1"/>
  <headerFooter alignWithMargins="0">
    <oddFooter>&amp;C50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E1" workbookViewId="0"/>
  </sheetViews>
  <sheetFormatPr defaultRowHeight="12.75" x14ac:dyDescent="0.2"/>
  <sheetData/>
  <pageMargins left="0.7" right="0.7" top="0.75" bottom="0.75" header="0.3" footer="0.3"/>
  <pageSetup orientation="portrait" horizontalDpi="4294967293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2" sqref="G22"/>
    </sheetView>
  </sheetViews>
  <sheetFormatPr defaultRowHeight="12.75" x14ac:dyDescent="0.2"/>
  <sheetData/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27"/>
  <sheetViews>
    <sheetView rightToLeft="1" zoomScaleSheetLayoutView="100" workbookViewId="0">
      <selection activeCell="F37" sqref="F37"/>
    </sheetView>
  </sheetViews>
  <sheetFormatPr defaultRowHeight="12.75" x14ac:dyDescent="0.2"/>
  <cols>
    <col min="1" max="1" width="15.28515625" customWidth="1"/>
    <col min="2" max="2" width="14.85546875" customWidth="1"/>
    <col min="3" max="3" width="13.5703125" customWidth="1"/>
    <col min="4" max="4" width="15.140625" style="7" customWidth="1"/>
    <col min="5" max="5" width="18" style="7" customWidth="1"/>
    <col min="6" max="6" width="18" customWidth="1"/>
    <col min="7" max="7" width="16.28515625" customWidth="1"/>
  </cols>
  <sheetData>
    <row r="1" spans="1:7" ht="15" x14ac:dyDescent="0.2">
      <c r="A1" s="862" t="s">
        <v>442</v>
      </c>
      <c r="B1" s="862"/>
      <c r="C1" s="862"/>
      <c r="D1" s="862"/>
      <c r="E1" s="862"/>
      <c r="F1" s="862"/>
      <c r="G1" s="862"/>
    </row>
    <row r="2" spans="1:7" ht="18" customHeight="1" x14ac:dyDescent="0.2">
      <c r="A2" s="863" t="s">
        <v>443</v>
      </c>
      <c r="B2" s="863"/>
      <c r="C2" s="863"/>
      <c r="D2" s="863"/>
      <c r="E2" s="863"/>
      <c r="F2" s="863"/>
      <c r="G2" s="863"/>
    </row>
    <row r="3" spans="1:7" ht="12" customHeight="1" x14ac:dyDescent="0.2">
      <c r="A3" s="863"/>
      <c r="B3" s="863"/>
      <c r="C3" s="863"/>
      <c r="D3" s="863"/>
      <c r="E3" s="863"/>
      <c r="F3" s="863"/>
      <c r="G3" s="863"/>
    </row>
    <row r="4" spans="1:7" s="7" customFormat="1" ht="12" customHeight="1" x14ac:dyDescent="0.2">
      <c r="B4" s="221"/>
      <c r="C4" s="221"/>
      <c r="D4" s="263"/>
      <c r="E4" s="263"/>
      <c r="F4" s="221"/>
      <c r="G4" s="231" t="s">
        <v>215</v>
      </c>
    </row>
    <row r="5" spans="1:7" ht="18.75" customHeight="1" thickBot="1" x14ac:dyDescent="0.25">
      <c r="A5" s="861" t="s">
        <v>402</v>
      </c>
      <c r="B5" s="861"/>
      <c r="C5" s="861"/>
      <c r="D5" s="264"/>
      <c r="E5" s="264"/>
      <c r="F5" s="860" t="s">
        <v>330</v>
      </c>
      <c r="G5" s="860"/>
    </row>
    <row r="6" spans="1:7" s="161" customFormat="1" ht="15" customHeight="1" x14ac:dyDescent="0.2">
      <c r="A6" s="462"/>
      <c r="B6" s="463" t="s">
        <v>67</v>
      </c>
      <c r="C6" s="464" t="s">
        <v>75</v>
      </c>
      <c r="D6" s="464" t="s">
        <v>76</v>
      </c>
      <c r="E6" s="464" t="s">
        <v>81</v>
      </c>
      <c r="F6" s="464" t="s">
        <v>82</v>
      </c>
      <c r="G6" s="465"/>
    </row>
    <row r="7" spans="1:7" ht="15" customHeight="1" x14ac:dyDescent="0.25">
      <c r="A7" s="20"/>
      <c r="B7" s="268" t="s">
        <v>28</v>
      </c>
      <c r="C7" s="22" t="s">
        <v>160</v>
      </c>
      <c r="D7" s="22" t="s">
        <v>145</v>
      </c>
      <c r="E7" s="22" t="s">
        <v>137</v>
      </c>
      <c r="F7" s="22" t="s">
        <v>139</v>
      </c>
      <c r="G7" s="59"/>
    </row>
    <row r="8" spans="1:7" ht="15" customHeight="1" x14ac:dyDescent="0.2">
      <c r="A8" s="265" t="s">
        <v>80</v>
      </c>
      <c r="B8" s="265" t="s">
        <v>133</v>
      </c>
      <c r="C8" s="265" t="s">
        <v>133</v>
      </c>
      <c r="D8" s="265" t="s">
        <v>133</v>
      </c>
      <c r="E8" s="265" t="s">
        <v>132</v>
      </c>
      <c r="F8" s="266"/>
      <c r="G8" s="267" t="s">
        <v>26</v>
      </c>
    </row>
    <row r="9" spans="1:7" s="313" customFormat="1" ht="15" customHeight="1" x14ac:dyDescent="0.2">
      <c r="A9" s="478" t="s">
        <v>380</v>
      </c>
      <c r="B9" s="507">
        <v>43</v>
      </c>
      <c r="C9" s="479">
        <v>295</v>
      </c>
      <c r="D9" s="479">
        <v>0</v>
      </c>
      <c r="E9" s="479">
        <v>8202.68</v>
      </c>
      <c r="F9" s="479">
        <v>2001271</v>
      </c>
      <c r="G9" s="507" t="s">
        <v>381</v>
      </c>
    </row>
    <row r="10" spans="1:7" s="313" customFormat="1" ht="15" customHeight="1" x14ac:dyDescent="0.2">
      <c r="A10" s="757" t="s">
        <v>30</v>
      </c>
      <c r="B10" s="181">
        <v>238</v>
      </c>
      <c r="C10" s="85">
        <v>1402</v>
      </c>
      <c r="D10" s="85">
        <v>0</v>
      </c>
      <c r="E10" s="85">
        <v>39034.559999999998</v>
      </c>
      <c r="F10" s="85">
        <v>11351792</v>
      </c>
      <c r="G10" s="181" t="s">
        <v>31</v>
      </c>
    </row>
    <row r="11" spans="1:7" s="313" customFormat="1" ht="15" customHeight="1" x14ac:dyDescent="0.2">
      <c r="A11" s="478" t="s">
        <v>3</v>
      </c>
      <c r="B11" s="507">
        <v>189</v>
      </c>
      <c r="C11" s="479">
        <v>1010</v>
      </c>
      <c r="D11" s="479">
        <v>0</v>
      </c>
      <c r="E11" s="479">
        <v>33669.51</v>
      </c>
      <c r="F11" s="479">
        <v>8934466</v>
      </c>
      <c r="G11" s="507" t="s">
        <v>15</v>
      </c>
    </row>
    <row r="12" spans="1:7" s="313" customFormat="1" ht="15" customHeight="1" x14ac:dyDescent="0.2">
      <c r="A12" s="757" t="s">
        <v>358</v>
      </c>
      <c r="B12" s="181">
        <v>10</v>
      </c>
      <c r="C12" s="85">
        <v>41</v>
      </c>
      <c r="D12" s="85">
        <v>0</v>
      </c>
      <c r="E12" s="85">
        <v>1579.25</v>
      </c>
      <c r="F12" s="85">
        <v>515662</v>
      </c>
      <c r="G12" s="181" t="s">
        <v>359</v>
      </c>
    </row>
    <row r="13" spans="1:7" s="313" customFormat="1" ht="15" customHeight="1" x14ac:dyDescent="0.2">
      <c r="A13" s="478" t="s">
        <v>4</v>
      </c>
      <c r="B13" s="507">
        <v>372</v>
      </c>
      <c r="C13" s="479">
        <v>1914</v>
      </c>
      <c r="D13" s="479">
        <v>0</v>
      </c>
      <c r="E13" s="479">
        <v>69841.990000000005</v>
      </c>
      <c r="F13" s="479">
        <v>26023701</v>
      </c>
      <c r="G13" s="507" t="s">
        <v>16</v>
      </c>
    </row>
    <row r="14" spans="1:7" s="313" customFormat="1" ht="15" customHeight="1" x14ac:dyDescent="0.2">
      <c r="A14" s="757" t="s">
        <v>5</v>
      </c>
      <c r="B14" s="181">
        <v>78</v>
      </c>
      <c r="C14" s="85">
        <v>401</v>
      </c>
      <c r="D14" s="85">
        <v>0</v>
      </c>
      <c r="E14" s="85">
        <v>11649.66</v>
      </c>
      <c r="F14" s="85">
        <v>4264825</v>
      </c>
      <c r="G14" s="181" t="s">
        <v>23</v>
      </c>
    </row>
    <row r="15" spans="1:7" s="313" customFormat="1" ht="15" customHeight="1" x14ac:dyDescent="0.2">
      <c r="A15" s="478" t="s">
        <v>6</v>
      </c>
      <c r="B15" s="507">
        <v>242</v>
      </c>
      <c r="C15" s="479">
        <v>1238</v>
      </c>
      <c r="D15" s="479">
        <v>2</v>
      </c>
      <c r="E15" s="479">
        <v>33420.18</v>
      </c>
      <c r="F15" s="479">
        <v>10455702</v>
      </c>
      <c r="G15" s="507" t="s">
        <v>24</v>
      </c>
    </row>
    <row r="16" spans="1:7" s="313" customFormat="1" ht="15" customHeight="1" x14ac:dyDescent="0.2">
      <c r="A16" s="757" t="s">
        <v>11</v>
      </c>
      <c r="B16" s="181">
        <v>153</v>
      </c>
      <c r="C16" s="85">
        <v>801</v>
      </c>
      <c r="D16" s="85">
        <v>0</v>
      </c>
      <c r="E16" s="85">
        <v>25639.25</v>
      </c>
      <c r="F16" s="85">
        <v>6460112</v>
      </c>
      <c r="G16" s="181" t="s">
        <v>21</v>
      </c>
    </row>
    <row r="17" spans="1:7" s="313" customFormat="1" ht="15" customHeight="1" x14ac:dyDescent="0.2">
      <c r="A17" s="478" t="s">
        <v>2</v>
      </c>
      <c r="B17" s="507">
        <v>70</v>
      </c>
      <c r="C17" s="479">
        <v>244</v>
      </c>
      <c r="D17" s="479">
        <v>0</v>
      </c>
      <c r="E17" s="479">
        <v>8907.23</v>
      </c>
      <c r="F17" s="479">
        <v>2418115</v>
      </c>
      <c r="G17" s="507" t="s">
        <v>14</v>
      </c>
    </row>
    <row r="18" spans="1:7" s="313" customFormat="1" ht="15" customHeight="1" x14ac:dyDescent="0.2">
      <c r="A18" s="757" t="s">
        <v>7</v>
      </c>
      <c r="B18" s="181">
        <v>175</v>
      </c>
      <c r="C18" s="85">
        <v>858</v>
      </c>
      <c r="D18" s="85">
        <v>0</v>
      </c>
      <c r="E18" s="85">
        <v>22459.08</v>
      </c>
      <c r="F18" s="85">
        <v>9773707</v>
      </c>
      <c r="G18" s="181" t="s">
        <v>17</v>
      </c>
    </row>
    <row r="19" spans="1:7" s="313" customFormat="1" ht="15" customHeight="1" x14ac:dyDescent="0.2">
      <c r="A19" s="478" t="s">
        <v>8</v>
      </c>
      <c r="B19" s="507">
        <v>142</v>
      </c>
      <c r="C19" s="479">
        <v>740</v>
      </c>
      <c r="D19" s="479">
        <v>0</v>
      </c>
      <c r="E19" s="479">
        <v>17069.400000000001</v>
      </c>
      <c r="F19" s="479">
        <v>5910679</v>
      </c>
      <c r="G19" s="507" t="s">
        <v>18</v>
      </c>
    </row>
    <row r="20" spans="1:7" s="313" customFormat="1" ht="15" customHeight="1" x14ac:dyDescent="0.2">
      <c r="A20" s="757" t="s">
        <v>9</v>
      </c>
      <c r="B20" s="181">
        <v>21</v>
      </c>
      <c r="C20" s="85">
        <v>73</v>
      </c>
      <c r="D20" s="85">
        <v>0</v>
      </c>
      <c r="E20" s="85">
        <v>3094.4</v>
      </c>
      <c r="F20" s="85">
        <v>1087200</v>
      </c>
      <c r="G20" s="181" t="s">
        <v>19</v>
      </c>
    </row>
    <row r="21" spans="1:7" s="313" customFormat="1" ht="15" customHeight="1" x14ac:dyDescent="0.2">
      <c r="A21" s="478" t="s">
        <v>10</v>
      </c>
      <c r="B21" s="507">
        <v>398</v>
      </c>
      <c r="C21" s="479">
        <v>1726</v>
      </c>
      <c r="D21" s="479">
        <v>4</v>
      </c>
      <c r="E21" s="479">
        <v>46645.9</v>
      </c>
      <c r="F21" s="479">
        <v>11694375</v>
      </c>
      <c r="G21" s="507" t="s">
        <v>20</v>
      </c>
    </row>
    <row r="22" spans="1:7" s="313" customFormat="1" ht="15" customHeight="1" x14ac:dyDescent="0.2">
      <c r="A22" s="757" t="s">
        <v>12</v>
      </c>
      <c r="B22" s="181">
        <v>178</v>
      </c>
      <c r="C22" s="85">
        <v>731</v>
      </c>
      <c r="D22" s="85">
        <v>0</v>
      </c>
      <c r="E22" s="85">
        <v>22932.720000000001</v>
      </c>
      <c r="F22" s="85">
        <v>6971872</v>
      </c>
      <c r="G22" s="181" t="s">
        <v>25</v>
      </c>
    </row>
    <row r="23" spans="1:7" s="313" customFormat="1" ht="15" customHeight="1" thickBot="1" x14ac:dyDescent="0.25">
      <c r="A23" s="478" t="s">
        <v>13</v>
      </c>
      <c r="B23" s="507">
        <v>238</v>
      </c>
      <c r="C23" s="479">
        <v>795</v>
      </c>
      <c r="D23" s="479">
        <v>0</v>
      </c>
      <c r="E23" s="479">
        <v>38062</v>
      </c>
      <c r="F23" s="479">
        <v>15654135</v>
      </c>
      <c r="G23" s="507" t="s">
        <v>22</v>
      </c>
    </row>
    <row r="24" spans="1:7" s="313" customFormat="1" ht="20.25" customHeight="1" thickTop="1" thickBot="1" x14ac:dyDescent="0.25">
      <c r="A24" s="508" t="s">
        <v>0</v>
      </c>
      <c r="B24" s="509">
        <f>SUM(B9:B23)</f>
        <v>2547</v>
      </c>
      <c r="C24" s="510">
        <f>SUM(C9:C23)</f>
        <v>12269</v>
      </c>
      <c r="D24" s="510">
        <f>SUM(D9:D23)</f>
        <v>6</v>
      </c>
      <c r="E24" s="510">
        <f>SUM(E9:E23)</f>
        <v>382207.81000000006</v>
      </c>
      <c r="F24" s="511">
        <f>SUM(F9:F23)</f>
        <v>123517614</v>
      </c>
      <c r="G24" s="509" t="s">
        <v>1</v>
      </c>
    </row>
    <row r="25" spans="1:7" ht="15.75" thickTop="1" x14ac:dyDescent="0.25">
      <c r="A25" s="864"/>
      <c r="B25" s="864"/>
      <c r="C25" s="864"/>
      <c r="D25" s="864"/>
      <c r="E25" s="14"/>
      <c r="F25" s="23"/>
      <c r="G25" s="23"/>
    </row>
    <row r="26" spans="1:7" ht="15" x14ac:dyDescent="0.25">
      <c r="B26" s="23"/>
      <c r="C26" s="23"/>
      <c r="D26" s="23"/>
      <c r="E26" s="23"/>
      <c r="F26" s="23"/>
      <c r="G26" s="23"/>
    </row>
    <row r="27" spans="1:7" x14ac:dyDescent="0.2">
      <c r="F27" s="6"/>
    </row>
  </sheetData>
  <mergeCells count="5">
    <mergeCell ref="F5:G5"/>
    <mergeCell ref="A5:C5"/>
    <mergeCell ref="A1:G1"/>
    <mergeCell ref="A2:G3"/>
    <mergeCell ref="A25:D25"/>
  </mergeCells>
  <phoneticPr fontId="3" type="noConversion"/>
  <printOptions horizontalCentered="1" verticalCentered="1"/>
  <pageMargins left="1.4" right="1.39" top="1.0374015750000001" bottom="0.98425196850393704" header="0.78740157480314998" footer="0.511811023622047"/>
  <pageSetup scale="94" orientation="landscape" verticalDpi="300" r:id="rId1"/>
  <headerFooter alignWithMargins="0">
    <oddFooter>&amp;C13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J28"/>
  <sheetViews>
    <sheetView rightToLeft="1" showWhiteSpace="0" topLeftCell="B1" zoomScaleSheetLayoutView="100" workbookViewId="0">
      <selection activeCell="N8" sqref="N8"/>
    </sheetView>
  </sheetViews>
  <sheetFormatPr defaultRowHeight="12.75" x14ac:dyDescent="0.2"/>
  <cols>
    <col min="1" max="1" width="2.42578125" customWidth="1"/>
    <col min="2" max="2" width="13.7109375" customWidth="1"/>
    <col min="3" max="3" width="12.140625" customWidth="1"/>
    <col min="4" max="4" width="10.140625" customWidth="1"/>
    <col min="5" max="5" width="12.5703125" customWidth="1"/>
    <col min="6" max="6" width="13.28515625" customWidth="1"/>
    <col min="7" max="7" width="13.5703125" style="7" customWidth="1"/>
    <col min="8" max="8" width="18" style="638" customWidth="1"/>
    <col min="9" max="9" width="14.42578125" customWidth="1"/>
    <col min="10" max="10" width="16.42578125" customWidth="1"/>
  </cols>
  <sheetData>
    <row r="1" spans="2:10" ht="30.75" customHeight="1" x14ac:dyDescent="0.2">
      <c r="B1" s="850" t="s">
        <v>444</v>
      </c>
      <c r="C1" s="850"/>
      <c r="D1" s="850"/>
      <c r="E1" s="850"/>
      <c r="F1" s="850"/>
      <c r="G1" s="850"/>
      <c r="H1" s="850"/>
      <c r="I1" s="850"/>
      <c r="J1" s="850"/>
    </row>
    <row r="2" spans="2:10" ht="22.5" customHeight="1" x14ac:dyDescent="0.2">
      <c r="B2" s="858" t="s">
        <v>445</v>
      </c>
      <c r="C2" s="858"/>
      <c r="D2" s="858"/>
      <c r="E2" s="858"/>
      <c r="F2" s="858"/>
      <c r="G2" s="858"/>
      <c r="H2" s="858"/>
      <c r="I2" s="858"/>
      <c r="J2" s="858"/>
    </row>
    <row r="3" spans="2:10" s="7" customFormat="1" ht="18.75" customHeight="1" x14ac:dyDescent="0.2">
      <c r="C3" s="220"/>
      <c r="D3" s="220"/>
      <c r="E3" s="220"/>
      <c r="F3" s="220"/>
      <c r="G3" s="642"/>
      <c r="H3" s="642"/>
      <c r="I3" s="220"/>
      <c r="J3" s="231" t="s">
        <v>215</v>
      </c>
    </row>
    <row r="4" spans="2:10" ht="28.5" customHeight="1" thickBot="1" x14ac:dyDescent="0.25">
      <c r="B4" s="49" t="s">
        <v>403</v>
      </c>
      <c r="C4" s="866" t="s">
        <v>150</v>
      </c>
      <c r="D4" s="866"/>
      <c r="E4" s="50"/>
      <c r="F4" s="50"/>
      <c r="G4" s="643"/>
      <c r="H4" s="643"/>
      <c r="I4" s="50" t="s">
        <v>149</v>
      </c>
      <c r="J4" s="26" t="s">
        <v>104</v>
      </c>
    </row>
    <row r="5" spans="2:10" ht="15" customHeight="1" x14ac:dyDescent="0.2">
      <c r="B5" s="30"/>
      <c r="C5" s="29" t="s">
        <v>27</v>
      </c>
      <c r="D5" s="29" t="s">
        <v>105</v>
      </c>
      <c r="E5" s="29" t="s">
        <v>106</v>
      </c>
      <c r="F5" s="29" t="s">
        <v>75</v>
      </c>
      <c r="G5" s="29" t="s">
        <v>77</v>
      </c>
      <c r="H5" s="29" t="s">
        <v>81</v>
      </c>
      <c r="I5" s="29" t="s">
        <v>124</v>
      </c>
      <c r="J5" s="29"/>
    </row>
    <row r="6" spans="2:10" ht="15" customHeight="1" x14ac:dyDescent="0.25">
      <c r="B6" s="189"/>
      <c r="C6" s="190" t="s">
        <v>28</v>
      </c>
      <c r="D6" s="21" t="s">
        <v>331</v>
      </c>
      <c r="E6" s="21" t="s">
        <v>152</v>
      </c>
      <c r="F6" s="21" t="s">
        <v>307</v>
      </c>
      <c r="G6" s="21" t="s">
        <v>494</v>
      </c>
      <c r="H6" s="190" t="s">
        <v>137</v>
      </c>
      <c r="I6" s="31" t="s">
        <v>140</v>
      </c>
      <c r="J6" s="21"/>
    </row>
    <row r="7" spans="2:10" ht="16.5" customHeight="1" thickBot="1" x14ac:dyDescent="0.25">
      <c r="B7" s="191" t="s">
        <v>50</v>
      </c>
      <c r="C7" s="246" t="s">
        <v>133</v>
      </c>
      <c r="D7" s="246" t="s">
        <v>161</v>
      </c>
      <c r="E7" s="246" t="s">
        <v>162</v>
      </c>
      <c r="F7" s="246" t="s">
        <v>161</v>
      </c>
      <c r="G7" s="246" t="s">
        <v>43</v>
      </c>
      <c r="H7" s="246" t="s">
        <v>132</v>
      </c>
      <c r="I7" s="191"/>
      <c r="J7" s="192" t="s">
        <v>26</v>
      </c>
    </row>
    <row r="8" spans="2:10" ht="15" customHeight="1" thickTop="1" x14ac:dyDescent="0.25">
      <c r="B8" s="15" t="s">
        <v>380</v>
      </c>
      <c r="C8" s="305">
        <v>0.28999999999999998</v>
      </c>
      <c r="D8" s="305">
        <v>0.57999999999999996</v>
      </c>
      <c r="E8" s="305">
        <v>1.74</v>
      </c>
      <c r="F8" s="305">
        <v>2.61</v>
      </c>
      <c r="G8" s="305">
        <v>44</v>
      </c>
      <c r="H8" s="305">
        <v>43.5</v>
      </c>
      <c r="I8" s="309">
        <v>13050</v>
      </c>
      <c r="J8" s="476" t="s">
        <v>489</v>
      </c>
    </row>
    <row r="9" spans="2:10" s="161" customFormat="1" ht="15" customHeight="1" x14ac:dyDescent="0.25">
      <c r="B9" s="314" t="s">
        <v>4</v>
      </c>
      <c r="C9" s="306">
        <v>8.3000000000000007</v>
      </c>
      <c r="D9" s="306">
        <v>31.54</v>
      </c>
      <c r="E9" s="306">
        <v>51.46</v>
      </c>
      <c r="F9" s="306">
        <v>132.80000000000001</v>
      </c>
      <c r="G9" s="306">
        <v>4246</v>
      </c>
      <c r="H9" s="306">
        <v>8479.2800000000007</v>
      </c>
      <c r="I9" s="308">
        <v>3361500</v>
      </c>
      <c r="J9" s="477" t="s">
        <v>16</v>
      </c>
    </row>
    <row r="10" spans="2:10" s="7" customFormat="1" ht="15" customHeight="1" thickBot="1" x14ac:dyDescent="0.3">
      <c r="B10" s="15" t="s">
        <v>2</v>
      </c>
      <c r="C10" s="305">
        <v>0.62</v>
      </c>
      <c r="D10" s="305">
        <v>1.24</v>
      </c>
      <c r="E10" s="305">
        <v>3.72</v>
      </c>
      <c r="F10" s="305">
        <v>11.16</v>
      </c>
      <c r="G10" s="305">
        <v>315</v>
      </c>
      <c r="H10" s="305">
        <v>131.04</v>
      </c>
      <c r="I10" s="309">
        <v>2633388</v>
      </c>
      <c r="J10" s="476" t="s">
        <v>382</v>
      </c>
    </row>
    <row r="11" spans="2:10" ht="24" customHeight="1" thickTop="1" thickBot="1" x14ac:dyDescent="0.25">
      <c r="B11" s="193" t="s">
        <v>0</v>
      </c>
      <c r="C11" s="328">
        <v>9.2099999999999991</v>
      </c>
      <c r="D11" s="328">
        <v>33.36</v>
      </c>
      <c r="E11" s="328">
        <v>56.92</v>
      </c>
      <c r="F11" s="328">
        <v>146.57000000000002</v>
      </c>
      <c r="G11" s="328">
        <f>SUM(G8:G10)</f>
        <v>4605</v>
      </c>
      <c r="H11" s="328">
        <v>8653.8200000000015</v>
      </c>
      <c r="I11" s="328">
        <v>6007938</v>
      </c>
      <c r="J11" s="193" t="s">
        <v>109</v>
      </c>
    </row>
    <row r="12" spans="2:10" ht="13.5" thickTop="1" x14ac:dyDescent="0.2">
      <c r="B12" s="864"/>
      <c r="C12" s="864"/>
      <c r="D12" s="864"/>
      <c r="E12" s="864"/>
      <c r="F12" s="864"/>
      <c r="G12" s="641"/>
    </row>
    <row r="13" spans="2:10" ht="15" x14ac:dyDescent="0.25">
      <c r="B13" s="8"/>
      <c r="C13" s="23"/>
      <c r="D13" s="23"/>
      <c r="E13" s="23"/>
      <c r="F13" s="23"/>
      <c r="G13" s="23"/>
      <c r="H13" s="639"/>
      <c r="I13" s="23"/>
      <c r="J13" s="8"/>
    </row>
    <row r="16" spans="2:10" ht="15" x14ac:dyDescent="0.2">
      <c r="B16" s="850" t="s">
        <v>446</v>
      </c>
      <c r="C16" s="850"/>
      <c r="D16" s="850"/>
      <c r="E16" s="850"/>
      <c r="F16" s="850"/>
      <c r="G16" s="850"/>
      <c r="H16" s="850"/>
      <c r="I16" s="850"/>
      <c r="J16" s="850"/>
    </row>
    <row r="17" spans="2:10" ht="15" x14ac:dyDescent="0.2">
      <c r="B17" s="858" t="s">
        <v>445</v>
      </c>
      <c r="C17" s="858"/>
      <c r="D17" s="858"/>
      <c r="E17" s="858"/>
      <c r="F17" s="858"/>
      <c r="G17" s="858"/>
      <c r="H17" s="858"/>
      <c r="I17" s="858"/>
      <c r="J17" s="858"/>
    </row>
    <row r="18" spans="2:10" s="7" customFormat="1" ht="15" x14ac:dyDescent="0.2">
      <c r="B18" s="655"/>
      <c r="C18" s="655"/>
      <c r="D18" s="655"/>
      <c r="E18" s="655"/>
      <c r="F18" s="655"/>
      <c r="G18" s="655"/>
      <c r="H18" s="655"/>
      <c r="I18" s="655"/>
      <c r="J18" s="659" t="s">
        <v>215</v>
      </c>
    </row>
    <row r="19" spans="2:10" ht="15.75" customHeight="1" thickBot="1" x14ac:dyDescent="0.25">
      <c r="B19" s="656" t="s">
        <v>404</v>
      </c>
      <c r="C19" s="866" t="s">
        <v>317</v>
      </c>
      <c r="D19" s="866"/>
      <c r="E19" s="656"/>
      <c r="F19" s="656"/>
      <c r="G19" s="656"/>
      <c r="H19" s="656"/>
      <c r="I19" s="656" t="s">
        <v>332</v>
      </c>
      <c r="J19" s="656" t="s">
        <v>108</v>
      </c>
    </row>
    <row r="20" spans="2:10" ht="30" x14ac:dyDescent="0.2">
      <c r="B20" s="29"/>
      <c r="C20" s="29" t="s">
        <v>27</v>
      </c>
      <c r="D20" s="29" t="s">
        <v>105</v>
      </c>
      <c r="E20" s="29" t="s">
        <v>106</v>
      </c>
      <c r="F20" s="29" t="s">
        <v>75</v>
      </c>
      <c r="G20" s="29" t="s">
        <v>81</v>
      </c>
      <c r="H20" s="29" t="s">
        <v>124</v>
      </c>
      <c r="I20" s="29"/>
      <c r="J20" s="786"/>
    </row>
    <row r="21" spans="2:10" ht="15" x14ac:dyDescent="0.25">
      <c r="B21" s="190"/>
      <c r="C21" s="190" t="s">
        <v>28</v>
      </c>
      <c r="D21" s="21" t="s">
        <v>331</v>
      </c>
      <c r="E21" s="21" t="s">
        <v>152</v>
      </c>
      <c r="F21" s="21" t="s">
        <v>307</v>
      </c>
      <c r="G21" s="190" t="s">
        <v>137</v>
      </c>
      <c r="H21" s="661" t="s">
        <v>140</v>
      </c>
      <c r="I21" s="21"/>
      <c r="J21" s="652"/>
    </row>
    <row r="22" spans="2:10" ht="31.5" customHeight="1" thickBot="1" x14ac:dyDescent="0.25">
      <c r="B22" s="21" t="s">
        <v>50</v>
      </c>
      <c r="C22" s="21" t="s">
        <v>133</v>
      </c>
      <c r="D22" s="21" t="s">
        <v>161</v>
      </c>
      <c r="E22" s="21" t="s">
        <v>162</v>
      </c>
      <c r="F22" s="21" t="s">
        <v>161</v>
      </c>
      <c r="G22" s="21" t="s">
        <v>132</v>
      </c>
      <c r="H22" s="661"/>
      <c r="I22" s="21"/>
      <c r="J22" s="661" t="s">
        <v>26</v>
      </c>
    </row>
    <row r="23" spans="2:10" ht="15.75" thickTop="1" x14ac:dyDescent="0.25">
      <c r="B23" s="842" t="s">
        <v>4</v>
      </c>
      <c r="C23" s="787">
        <v>0.71</v>
      </c>
      <c r="D23" s="787">
        <v>5.68</v>
      </c>
      <c r="E23" s="787">
        <v>28.4</v>
      </c>
      <c r="F23" s="787">
        <v>85.2</v>
      </c>
      <c r="G23" s="787">
        <v>3562.07</v>
      </c>
      <c r="H23" s="788">
        <v>1420000</v>
      </c>
      <c r="I23" s="789"/>
      <c r="J23" s="789" t="s">
        <v>16</v>
      </c>
    </row>
    <row r="24" spans="2:10" s="161" customFormat="1" ht="15" x14ac:dyDescent="0.25">
      <c r="B24" s="55" t="s">
        <v>7</v>
      </c>
      <c r="C24" s="306">
        <v>0.42</v>
      </c>
      <c r="D24" s="306">
        <v>2.52</v>
      </c>
      <c r="E24" s="306">
        <v>2.1</v>
      </c>
      <c r="F24" s="306">
        <v>5.04</v>
      </c>
      <c r="G24" s="306">
        <v>834.54</v>
      </c>
      <c r="H24" s="308">
        <v>378000</v>
      </c>
      <c r="I24" s="629"/>
      <c r="J24" s="629" t="s">
        <v>17</v>
      </c>
    </row>
    <row r="25" spans="2:10" s="7" customFormat="1" ht="15.75" thickBot="1" x14ac:dyDescent="0.3">
      <c r="B25" s="34" t="s">
        <v>13</v>
      </c>
      <c r="C25" s="305">
        <v>0.5</v>
      </c>
      <c r="D25" s="305">
        <v>1</v>
      </c>
      <c r="E25" s="305">
        <v>2</v>
      </c>
      <c r="F25" s="305">
        <v>5</v>
      </c>
      <c r="G25" s="305">
        <v>335</v>
      </c>
      <c r="H25" s="309">
        <v>134000</v>
      </c>
      <c r="I25" s="181"/>
      <c r="J25" s="181" t="s">
        <v>22</v>
      </c>
    </row>
    <row r="26" spans="2:10" ht="16.5" thickBot="1" x14ac:dyDescent="0.25">
      <c r="B26" s="843" t="s">
        <v>0</v>
      </c>
      <c r="C26" s="474">
        <v>1.63</v>
      </c>
      <c r="D26" s="474">
        <v>9.1999999999999993</v>
      </c>
      <c r="E26" s="474">
        <v>32.5</v>
      </c>
      <c r="F26" s="474">
        <v>95.240000000000009</v>
      </c>
      <c r="G26" s="474">
        <v>4731.6100000000006</v>
      </c>
      <c r="H26" s="474">
        <v>1932000</v>
      </c>
      <c r="I26" s="790"/>
      <c r="J26" s="790" t="s">
        <v>109</v>
      </c>
    </row>
    <row r="27" spans="2:10" x14ac:dyDescent="0.2">
      <c r="B27" s="855"/>
      <c r="C27" s="865"/>
      <c r="D27" s="865"/>
      <c r="E27" s="865"/>
      <c r="F27" s="865"/>
      <c r="G27" s="646"/>
      <c r="I27" s="7"/>
      <c r="J27" s="7"/>
    </row>
    <row r="28" spans="2:10" ht="15" x14ac:dyDescent="0.25">
      <c r="C28" s="23"/>
      <c r="D28" s="23"/>
      <c r="E28" s="23"/>
      <c r="F28" s="23"/>
      <c r="G28" s="23"/>
      <c r="H28" s="639"/>
      <c r="I28" s="23"/>
      <c r="J28" s="8"/>
    </row>
  </sheetData>
  <mergeCells count="8">
    <mergeCell ref="B27:F27"/>
    <mergeCell ref="B1:J1"/>
    <mergeCell ref="B2:J2"/>
    <mergeCell ref="B16:J16"/>
    <mergeCell ref="B17:J17"/>
    <mergeCell ref="C19:D19"/>
    <mergeCell ref="C4:D4"/>
    <mergeCell ref="B12:F12"/>
  </mergeCells>
  <phoneticPr fontId="3" type="noConversion"/>
  <printOptions horizontalCentered="1" verticalCentered="1"/>
  <pageMargins left="0.24" right="0.38" top="1.0374015750000001" bottom="0.98425196850393704" header="0.78740157480314998" footer="0.511811023622047"/>
  <pageSetup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L25"/>
  <sheetViews>
    <sheetView rightToLeft="1" topLeftCell="B1" zoomScaleSheetLayoutView="100" workbookViewId="0">
      <selection activeCell="Q9" sqref="Q9"/>
    </sheetView>
  </sheetViews>
  <sheetFormatPr defaultRowHeight="12.75" x14ac:dyDescent="0.2"/>
  <cols>
    <col min="1" max="1" width="0" hidden="1" customWidth="1"/>
    <col min="2" max="2" width="10.85546875" customWidth="1"/>
    <col min="3" max="3" width="9.42578125" customWidth="1"/>
    <col min="4" max="4" width="10.28515625" customWidth="1"/>
    <col min="5" max="5" width="8.85546875" customWidth="1"/>
    <col min="6" max="6" width="9.85546875" customWidth="1"/>
    <col min="7" max="7" width="10.42578125" customWidth="1"/>
    <col min="8" max="8" width="15.7109375" customWidth="1"/>
    <col min="9" max="9" width="17.5703125" customWidth="1"/>
    <col min="10" max="10" width="14.5703125" customWidth="1"/>
    <col min="11" max="11" width="13.85546875" customWidth="1"/>
    <col min="12" max="12" width="1.140625" customWidth="1"/>
  </cols>
  <sheetData>
    <row r="1" spans="1:11" ht="15" x14ac:dyDescent="0.2">
      <c r="B1" s="850" t="s">
        <v>447</v>
      </c>
      <c r="C1" s="850"/>
      <c r="D1" s="850"/>
      <c r="E1" s="850"/>
      <c r="F1" s="850"/>
      <c r="G1" s="850"/>
      <c r="H1" s="850"/>
      <c r="I1" s="850"/>
      <c r="J1" s="850"/>
      <c r="K1" s="850"/>
    </row>
    <row r="2" spans="1:11" ht="15" customHeight="1" x14ac:dyDescent="0.2">
      <c r="B2" s="868" t="s">
        <v>448</v>
      </c>
      <c r="C2" s="868"/>
      <c r="D2" s="868"/>
      <c r="E2" s="868"/>
      <c r="F2" s="868"/>
      <c r="G2" s="868"/>
      <c r="H2" s="868"/>
      <c r="I2" s="868"/>
      <c r="J2" s="868"/>
      <c r="K2" s="868"/>
    </row>
    <row r="3" spans="1:11" s="7" customFormat="1" ht="15" customHeight="1" x14ac:dyDescent="0.2">
      <c r="B3" s="222"/>
      <c r="C3" s="222"/>
      <c r="D3" s="222"/>
      <c r="E3" s="222"/>
      <c r="F3" s="222"/>
      <c r="G3" s="222"/>
      <c r="H3" s="222"/>
      <c r="I3" s="222"/>
      <c r="J3" s="222"/>
      <c r="K3" s="231" t="s">
        <v>215</v>
      </c>
    </row>
    <row r="4" spans="1:11" ht="16.5" customHeight="1" thickBot="1" x14ac:dyDescent="0.3">
      <c r="B4" s="859" t="s">
        <v>405</v>
      </c>
      <c r="C4" s="859"/>
      <c r="D4" s="867" t="s">
        <v>150</v>
      </c>
      <c r="E4" s="867"/>
      <c r="F4" s="25"/>
      <c r="G4" s="25"/>
      <c r="H4" s="25"/>
      <c r="I4" s="50"/>
      <c r="J4" s="50" t="s">
        <v>149</v>
      </c>
      <c r="K4" s="26" t="s">
        <v>110</v>
      </c>
    </row>
    <row r="5" spans="1:11" ht="19.5" customHeight="1" x14ac:dyDescent="0.2">
      <c r="A5" s="3"/>
      <c r="B5" s="37"/>
      <c r="C5" s="15" t="s">
        <v>67</v>
      </c>
      <c r="D5" s="15" t="s">
        <v>105</v>
      </c>
      <c r="E5" s="15" t="s">
        <v>106</v>
      </c>
      <c r="F5" s="15" t="s">
        <v>75</v>
      </c>
      <c r="G5" s="15" t="s">
        <v>76</v>
      </c>
      <c r="H5" s="15" t="s">
        <v>216</v>
      </c>
      <c r="I5" s="15" t="s">
        <v>81</v>
      </c>
      <c r="J5" s="15" t="s">
        <v>126</v>
      </c>
      <c r="K5" s="37"/>
    </row>
    <row r="6" spans="1:11" ht="26.25" customHeight="1" x14ac:dyDescent="0.2">
      <c r="A6" s="3"/>
      <c r="B6" s="40"/>
      <c r="C6" s="17" t="s">
        <v>28</v>
      </c>
      <c r="D6" s="21" t="s">
        <v>331</v>
      </c>
      <c r="E6" s="47" t="s">
        <v>152</v>
      </c>
      <c r="F6" s="17" t="s">
        <v>160</v>
      </c>
      <c r="G6" s="17" t="s">
        <v>145</v>
      </c>
      <c r="H6" s="248" t="s">
        <v>138</v>
      </c>
      <c r="I6" s="248" t="s">
        <v>137</v>
      </c>
      <c r="J6" s="655" t="s">
        <v>351</v>
      </c>
      <c r="K6" s="40"/>
    </row>
    <row r="7" spans="1:11" ht="15" customHeight="1" thickBot="1" x14ac:dyDescent="0.25">
      <c r="A7" s="3"/>
      <c r="B7" s="58" t="s">
        <v>54</v>
      </c>
      <c r="C7" s="45" t="s">
        <v>133</v>
      </c>
      <c r="D7" s="45" t="s">
        <v>133</v>
      </c>
      <c r="E7" s="58" t="s">
        <v>133</v>
      </c>
      <c r="F7" s="45" t="s">
        <v>133</v>
      </c>
      <c r="G7" s="45" t="s">
        <v>133</v>
      </c>
      <c r="H7" s="45" t="s">
        <v>132</v>
      </c>
      <c r="I7" s="45" t="s">
        <v>132</v>
      </c>
      <c r="J7" s="58"/>
      <c r="K7" s="44" t="s">
        <v>26</v>
      </c>
    </row>
    <row r="8" spans="1:11" s="313" customFormat="1" ht="15" customHeight="1" thickTop="1" x14ac:dyDescent="0.25">
      <c r="B8" s="486" t="s">
        <v>380</v>
      </c>
      <c r="C8" s="479">
        <v>7.83</v>
      </c>
      <c r="D8" s="479">
        <v>26.97</v>
      </c>
      <c r="E8" s="479">
        <v>70.47</v>
      </c>
      <c r="F8" s="479">
        <v>190.53</v>
      </c>
      <c r="G8" s="479">
        <v>58.87</v>
      </c>
      <c r="H8" s="479">
        <v>4864.46</v>
      </c>
      <c r="I8" s="479">
        <v>13952.19</v>
      </c>
      <c r="J8" s="480">
        <v>4633083.5</v>
      </c>
      <c r="K8" s="487" t="s">
        <v>381</v>
      </c>
    </row>
    <row r="9" spans="1:11" s="313" customFormat="1" ht="15" customHeight="1" x14ac:dyDescent="0.25">
      <c r="B9" s="695" t="s">
        <v>30</v>
      </c>
      <c r="C9" s="85">
        <v>13.05</v>
      </c>
      <c r="D9" s="85">
        <v>39.15</v>
      </c>
      <c r="E9" s="85">
        <v>64.349999999999994</v>
      </c>
      <c r="F9" s="85">
        <v>234</v>
      </c>
      <c r="G9" s="85">
        <v>55.8</v>
      </c>
      <c r="H9" s="85">
        <v>4491.45</v>
      </c>
      <c r="I9" s="85">
        <v>14932.35</v>
      </c>
      <c r="J9" s="82">
        <v>7028100</v>
      </c>
      <c r="K9" s="647" t="s">
        <v>31</v>
      </c>
    </row>
    <row r="10" spans="1:11" s="313" customFormat="1" ht="15" customHeight="1" x14ac:dyDescent="0.25">
      <c r="B10" s="478" t="s">
        <v>3</v>
      </c>
      <c r="C10" s="479">
        <v>14.04</v>
      </c>
      <c r="D10" s="479">
        <v>39.96</v>
      </c>
      <c r="E10" s="479">
        <v>58.86</v>
      </c>
      <c r="F10" s="479">
        <v>213.84</v>
      </c>
      <c r="G10" s="479">
        <v>47.52</v>
      </c>
      <c r="H10" s="479">
        <v>4225.5</v>
      </c>
      <c r="I10" s="479">
        <v>5402.7</v>
      </c>
      <c r="J10" s="480">
        <v>1686258</v>
      </c>
      <c r="K10" s="483" t="s">
        <v>15</v>
      </c>
    </row>
    <row r="11" spans="1:11" s="313" customFormat="1" ht="15" customHeight="1" x14ac:dyDescent="0.25">
      <c r="B11" s="757" t="s">
        <v>365</v>
      </c>
      <c r="C11" s="85">
        <v>4.8</v>
      </c>
      <c r="D11" s="85">
        <v>16.32</v>
      </c>
      <c r="E11" s="85">
        <v>24</v>
      </c>
      <c r="F11" s="85">
        <v>81.599999999999994</v>
      </c>
      <c r="G11" s="85">
        <v>24</v>
      </c>
      <c r="H11" s="85">
        <v>1949.44</v>
      </c>
      <c r="I11" s="85">
        <v>3747.52</v>
      </c>
      <c r="J11" s="82">
        <v>1487648</v>
      </c>
      <c r="K11" s="647" t="s">
        <v>359</v>
      </c>
    </row>
    <row r="12" spans="1:11" s="313" customFormat="1" ht="15" customHeight="1" x14ac:dyDescent="0.25">
      <c r="B12" s="486" t="s">
        <v>4</v>
      </c>
      <c r="C12" s="479">
        <v>190.07</v>
      </c>
      <c r="D12" s="479">
        <v>728.74</v>
      </c>
      <c r="E12" s="479">
        <v>873.16</v>
      </c>
      <c r="F12" s="479">
        <v>3331.62</v>
      </c>
      <c r="G12" s="479">
        <v>824.19</v>
      </c>
      <c r="H12" s="479">
        <v>94170.97</v>
      </c>
      <c r="I12" s="479">
        <v>234846.01</v>
      </c>
      <c r="J12" s="480">
        <v>93881414.540000007</v>
      </c>
      <c r="K12" s="487" t="s">
        <v>16</v>
      </c>
    </row>
    <row r="13" spans="1:11" s="313" customFormat="1" ht="15" customHeight="1" x14ac:dyDescent="0.25">
      <c r="B13" s="695" t="s">
        <v>5</v>
      </c>
      <c r="C13" s="85">
        <v>4.95</v>
      </c>
      <c r="D13" s="85">
        <v>14.52</v>
      </c>
      <c r="E13" s="85">
        <v>19.14</v>
      </c>
      <c r="F13" s="85">
        <v>83.16</v>
      </c>
      <c r="G13" s="85">
        <v>48.18</v>
      </c>
      <c r="H13" s="85">
        <v>2905.32</v>
      </c>
      <c r="I13" s="85">
        <v>3574.56</v>
      </c>
      <c r="J13" s="82">
        <v>1884564</v>
      </c>
      <c r="K13" s="647" t="s">
        <v>23</v>
      </c>
    </row>
    <row r="14" spans="1:11" s="313" customFormat="1" ht="15" customHeight="1" x14ac:dyDescent="0.25">
      <c r="B14" s="486" t="s">
        <v>6</v>
      </c>
      <c r="C14" s="479">
        <v>28.32</v>
      </c>
      <c r="D14" s="479">
        <v>106.56</v>
      </c>
      <c r="E14" s="479">
        <v>133.91999999999999</v>
      </c>
      <c r="F14" s="479">
        <v>606.24</v>
      </c>
      <c r="G14" s="479">
        <v>109.92</v>
      </c>
      <c r="H14" s="479">
        <v>9352.32</v>
      </c>
      <c r="I14" s="479">
        <v>27621.599999999999</v>
      </c>
      <c r="J14" s="480">
        <v>10194424.32</v>
      </c>
      <c r="K14" s="487" t="s">
        <v>24</v>
      </c>
    </row>
    <row r="15" spans="1:11" s="313" customFormat="1" ht="15" customHeight="1" x14ac:dyDescent="0.25">
      <c r="B15" s="695" t="s">
        <v>11</v>
      </c>
      <c r="C15" s="85">
        <v>4.07</v>
      </c>
      <c r="D15" s="85">
        <v>13.69</v>
      </c>
      <c r="E15" s="85">
        <v>18.5</v>
      </c>
      <c r="F15" s="85">
        <v>84.73</v>
      </c>
      <c r="G15" s="85">
        <v>30.34</v>
      </c>
      <c r="H15" s="85">
        <v>1982.09</v>
      </c>
      <c r="I15" s="85">
        <v>3955.67</v>
      </c>
      <c r="J15" s="82">
        <v>1426013.3</v>
      </c>
      <c r="K15" s="647" t="s">
        <v>21</v>
      </c>
    </row>
    <row r="16" spans="1:11" s="313" customFormat="1" ht="18" customHeight="1" x14ac:dyDescent="0.25">
      <c r="B16" s="486" t="s">
        <v>2</v>
      </c>
      <c r="C16" s="479">
        <v>4.34</v>
      </c>
      <c r="D16" s="479">
        <v>13.64</v>
      </c>
      <c r="E16" s="479">
        <v>18.600000000000001</v>
      </c>
      <c r="F16" s="479">
        <v>72.540000000000006</v>
      </c>
      <c r="G16" s="479">
        <v>12.4</v>
      </c>
      <c r="H16" s="479">
        <v>4803.76</v>
      </c>
      <c r="I16" s="479">
        <v>3345.52</v>
      </c>
      <c r="J16" s="480">
        <v>1003656</v>
      </c>
      <c r="K16" s="488" t="s">
        <v>14</v>
      </c>
    </row>
    <row r="17" spans="2:12" s="313" customFormat="1" ht="15" customHeight="1" x14ac:dyDescent="0.25">
      <c r="B17" s="695" t="s">
        <v>7</v>
      </c>
      <c r="C17" s="85">
        <v>17.010000000000002</v>
      </c>
      <c r="D17" s="85">
        <v>78.569999999999993</v>
      </c>
      <c r="E17" s="85">
        <v>135.27000000000001</v>
      </c>
      <c r="F17" s="85">
        <v>545.13</v>
      </c>
      <c r="G17" s="85">
        <v>114.21</v>
      </c>
      <c r="H17" s="85">
        <v>6704.37</v>
      </c>
      <c r="I17" s="85">
        <v>20942.55</v>
      </c>
      <c r="J17" s="82">
        <v>8466897.5999999996</v>
      </c>
      <c r="K17" s="647" t="s">
        <v>17</v>
      </c>
    </row>
    <row r="18" spans="2:12" s="313" customFormat="1" ht="15" customHeight="1" x14ac:dyDescent="0.25">
      <c r="B18" s="486" t="s">
        <v>8</v>
      </c>
      <c r="C18" s="479">
        <v>6.63</v>
      </c>
      <c r="D18" s="479">
        <v>24.18</v>
      </c>
      <c r="E18" s="479">
        <v>24.96</v>
      </c>
      <c r="F18" s="479">
        <v>91.65</v>
      </c>
      <c r="G18" s="479">
        <v>49.14</v>
      </c>
      <c r="H18" s="479">
        <v>2970.63</v>
      </c>
      <c r="I18" s="479">
        <v>4039.62</v>
      </c>
      <c r="J18" s="480">
        <v>1438924.5</v>
      </c>
      <c r="K18" s="487" t="s">
        <v>18</v>
      </c>
    </row>
    <row r="19" spans="2:12" s="313" customFormat="1" ht="15" customHeight="1" x14ac:dyDescent="0.25">
      <c r="B19" s="695" t="s">
        <v>9</v>
      </c>
      <c r="C19" s="85">
        <v>7.92</v>
      </c>
      <c r="D19" s="85">
        <v>23.76</v>
      </c>
      <c r="E19" s="85">
        <v>42.84</v>
      </c>
      <c r="F19" s="85">
        <v>132.84</v>
      </c>
      <c r="G19" s="85">
        <v>43.56</v>
      </c>
      <c r="H19" s="85">
        <v>3136.32</v>
      </c>
      <c r="I19" s="85">
        <v>7458.12</v>
      </c>
      <c r="J19" s="82">
        <v>3078504</v>
      </c>
      <c r="K19" s="647" t="s">
        <v>19</v>
      </c>
    </row>
    <row r="20" spans="2:12" s="313" customFormat="1" ht="15" customHeight="1" x14ac:dyDescent="0.25">
      <c r="B20" s="486" t="s">
        <v>10</v>
      </c>
      <c r="C20" s="479">
        <v>10.73</v>
      </c>
      <c r="D20" s="479">
        <v>37.369999999999997</v>
      </c>
      <c r="E20" s="479">
        <v>33.299999999999997</v>
      </c>
      <c r="F20" s="479">
        <v>157.62</v>
      </c>
      <c r="G20" s="479">
        <v>19.239999999999998</v>
      </c>
      <c r="H20" s="479">
        <v>2745.03</v>
      </c>
      <c r="I20" s="479">
        <v>6697.74</v>
      </c>
      <c r="J20" s="480">
        <v>2379507</v>
      </c>
      <c r="K20" s="487" t="s">
        <v>20</v>
      </c>
    </row>
    <row r="21" spans="2:12" s="313" customFormat="1" ht="15" customHeight="1" x14ac:dyDescent="0.25">
      <c r="B21" s="695" t="s">
        <v>12</v>
      </c>
      <c r="C21" s="85">
        <v>1.7</v>
      </c>
      <c r="D21" s="85">
        <v>4.42</v>
      </c>
      <c r="E21" s="85">
        <v>2.72</v>
      </c>
      <c r="F21" s="85">
        <v>25.5</v>
      </c>
      <c r="G21" s="85">
        <v>5.0999999999999996</v>
      </c>
      <c r="H21" s="85">
        <v>752.08</v>
      </c>
      <c r="I21" s="85">
        <v>1398.76</v>
      </c>
      <c r="J21" s="82">
        <v>478210</v>
      </c>
      <c r="K21" s="647" t="s">
        <v>25</v>
      </c>
    </row>
    <row r="22" spans="2:12" s="313" customFormat="1" ht="15" customHeight="1" thickBot="1" x14ac:dyDescent="0.3">
      <c r="B22" s="486" t="s">
        <v>13</v>
      </c>
      <c r="C22" s="479">
        <v>6.45</v>
      </c>
      <c r="D22" s="479">
        <v>20.21</v>
      </c>
      <c r="E22" s="479">
        <v>15.91</v>
      </c>
      <c r="F22" s="479">
        <v>76.11</v>
      </c>
      <c r="G22" s="479">
        <v>13.76</v>
      </c>
      <c r="H22" s="479">
        <v>5528.94</v>
      </c>
      <c r="I22" s="479">
        <v>7315.59</v>
      </c>
      <c r="J22" s="480">
        <v>3052578.6</v>
      </c>
      <c r="K22" s="487" t="s">
        <v>22</v>
      </c>
    </row>
    <row r="23" spans="2:12" ht="18.75" customHeight="1" thickBot="1" x14ac:dyDescent="0.25">
      <c r="B23" s="195" t="s">
        <v>0</v>
      </c>
      <c r="C23" s="194">
        <f>SUM(C8:C22)</f>
        <v>321.90999999999997</v>
      </c>
      <c r="D23" s="194">
        <v>1188.0600000000002</v>
      </c>
      <c r="E23" s="194">
        <v>1536</v>
      </c>
      <c r="F23" s="194">
        <v>5927.1099999999988</v>
      </c>
      <c r="G23" s="194">
        <v>1456.2300000000002</v>
      </c>
      <c r="H23" s="194">
        <v>150582.68000000002</v>
      </c>
      <c r="I23" s="194">
        <v>359230.5</v>
      </c>
      <c r="J23" s="194">
        <f>SUM(J8:J22)</f>
        <v>142119783.35999998</v>
      </c>
      <c r="K23" s="196" t="s">
        <v>1</v>
      </c>
    </row>
    <row r="24" spans="2:12" ht="13.5" thickTop="1" x14ac:dyDescent="0.2">
      <c r="B24" s="864"/>
      <c r="C24" s="864"/>
      <c r="D24" s="864"/>
      <c r="E24" s="864"/>
      <c r="F24" s="864"/>
    </row>
    <row r="25" spans="2:12" x14ac:dyDescent="0.2">
      <c r="B25" s="14"/>
      <c r="C25" s="14"/>
      <c r="D25" s="14"/>
      <c r="E25" s="14"/>
      <c r="F25" s="14"/>
      <c r="K25" s="8"/>
      <c r="L25" s="8"/>
    </row>
  </sheetData>
  <mergeCells count="5">
    <mergeCell ref="B1:K1"/>
    <mergeCell ref="B4:C4"/>
    <mergeCell ref="D4:E4"/>
    <mergeCell ref="B2:K2"/>
    <mergeCell ref="B24:F24"/>
  </mergeCells>
  <phoneticPr fontId="3" type="noConversion"/>
  <printOptions horizontalCentered="1" verticalCentered="1"/>
  <pageMargins left="0.25" right="0.4" top="0.75" bottom="0.75" header="0.3" footer="0.3"/>
  <pageSetup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:K19"/>
  <sheetViews>
    <sheetView rightToLeft="1" zoomScaleNormal="100" zoomScaleSheetLayoutView="100" workbookViewId="0">
      <selection activeCell="O8" sqref="O8"/>
    </sheetView>
  </sheetViews>
  <sheetFormatPr defaultRowHeight="12.75" x14ac:dyDescent="0.2"/>
  <cols>
    <col min="1" max="1" width="0.28515625" customWidth="1"/>
    <col min="2" max="2" width="12.140625" customWidth="1"/>
    <col min="3" max="3" width="12.140625" style="7" customWidth="1"/>
    <col min="4" max="5" width="10" style="7" customWidth="1"/>
    <col min="6" max="6" width="11.28515625" style="7" customWidth="1"/>
    <col min="7" max="7" width="11" customWidth="1"/>
    <col min="8" max="8" width="17.42578125" bestFit="1" customWidth="1"/>
    <col min="9" max="9" width="20.140625" customWidth="1"/>
    <col min="10" max="10" width="15" customWidth="1"/>
  </cols>
  <sheetData>
    <row r="1" spans="2:10" ht="15" customHeight="1" x14ac:dyDescent="0.2">
      <c r="B1" s="850" t="s">
        <v>449</v>
      </c>
      <c r="C1" s="850"/>
      <c r="D1" s="850"/>
      <c r="E1" s="850"/>
      <c r="F1" s="850"/>
      <c r="G1" s="850"/>
      <c r="H1" s="850"/>
      <c r="I1" s="850"/>
      <c r="J1" s="850"/>
    </row>
    <row r="2" spans="2:10" ht="15.75" customHeight="1" x14ac:dyDescent="0.2">
      <c r="B2" s="858" t="s">
        <v>450</v>
      </c>
      <c r="C2" s="858"/>
      <c r="D2" s="858"/>
      <c r="E2" s="858"/>
      <c r="F2" s="858"/>
      <c r="G2" s="858"/>
      <c r="H2" s="858"/>
      <c r="I2" s="858"/>
      <c r="J2" s="858"/>
    </row>
    <row r="3" spans="2:10" x14ac:dyDescent="0.2">
      <c r="B3" s="858"/>
      <c r="C3" s="858"/>
      <c r="D3" s="858"/>
      <c r="E3" s="858"/>
      <c r="F3" s="858"/>
      <c r="G3" s="858"/>
      <c r="H3" s="858"/>
      <c r="I3" s="858"/>
      <c r="J3" s="858"/>
    </row>
    <row r="4" spans="2:10" s="7" customFormat="1" ht="15" x14ac:dyDescent="0.2">
      <c r="B4" s="220"/>
      <c r="C4" s="280"/>
      <c r="D4" s="280"/>
      <c r="E4" s="280"/>
      <c r="F4" s="280"/>
      <c r="G4" s="220"/>
      <c r="H4" s="220"/>
      <c r="I4" s="220"/>
      <c r="J4" s="231" t="s">
        <v>215</v>
      </c>
    </row>
    <row r="5" spans="2:10" ht="15" customHeight="1" thickBot="1" x14ac:dyDescent="0.3">
      <c r="B5" s="269" t="s">
        <v>406</v>
      </c>
      <c r="C5" s="281" t="s">
        <v>499</v>
      </c>
      <c r="D5" s="281"/>
      <c r="E5" s="281"/>
      <c r="F5" s="281"/>
      <c r="G5" s="25"/>
      <c r="H5" s="856" t="s">
        <v>332</v>
      </c>
      <c r="I5" s="856"/>
      <c r="J5" s="26" t="s">
        <v>111</v>
      </c>
    </row>
    <row r="6" spans="2:10" ht="60" customHeight="1" x14ac:dyDescent="0.25">
      <c r="B6" s="43"/>
      <c r="C6" s="43" t="s">
        <v>27</v>
      </c>
      <c r="D6" s="662" t="s">
        <v>363</v>
      </c>
      <c r="E6" s="662" t="s">
        <v>106</v>
      </c>
      <c r="F6" s="662" t="s">
        <v>364</v>
      </c>
      <c r="G6" s="666" t="s">
        <v>107</v>
      </c>
      <c r="H6" s="666" t="s">
        <v>81</v>
      </c>
      <c r="I6" s="667" t="s">
        <v>217</v>
      </c>
      <c r="J6" s="37"/>
    </row>
    <row r="7" spans="2:10" ht="25.5" customHeight="1" x14ac:dyDescent="0.25">
      <c r="B7" s="19"/>
      <c r="C7" s="663" t="s">
        <v>28</v>
      </c>
      <c r="D7" s="663" t="s">
        <v>331</v>
      </c>
      <c r="E7" s="663" t="s">
        <v>152</v>
      </c>
      <c r="F7" s="663" t="s">
        <v>160</v>
      </c>
      <c r="G7" s="664" t="s">
        <v>145</v>
      </c>
      <c r="H7" s="664" t="s">
        <v>137</v>
      </c>
      <c r="I7" s="665" t="s">
        <v>139</v>
      </c>
      <c r="J7" s="40"/>
    </row>
    <row r="8" spans="2:10" ht="36.75" customHeight="1" thickBot="1" x14ac:dyDescent="0.25">
      <c r="B8" s="44" t="s">
        <v>52</v>
      </c>
      <c r="C8" s="45" t="s">
        <v>133</v>
      </c>
      <c r="D8" s="45" t="s">
        <v>133</v>
      </c>
      <c r="E8" s="45" t="s">
        <v>133</v>
      </c>
      <c r="F8" s="45" t="s">
        <v>133</v>
      </c>
      <c r="G8" s="45" t="s">
        <v>133</v>
      </c>
      <c r="H8" s="45" t="s">
        <v>132</v>
      </c>
      <c r="I8" s="58"/>
      <c r="J8" s="44" t="s">
        <v>26</v>
      </c>
    </row>
    <row r="9" spans="2:10" s="161" customFormat="1" ht="15" customHeight="1" thickTop="1" x14ac:dyDescent="0.25">
      <c r="B9" s="55" t="s">
        <v>380</v>
      </c>
      <c r="C9" s="56">
        <v>0.86</v>
      </c>
      <c r="D9" s="56">
        <v>2.15</v>
      </c>
      <c r="E9" s="56">
        <v>1.72</v>
      </c>
      <c r="F9" s="56">
        <v>4</v>
      </c>
      <c r="G9" s="84">
        <v>0</v>
      </c>
      <c r="H9" s="84">
        <v>478.16</v>
      </c>
      <c r="I9" s="163">
        <v>191264</v>
      </c>
      <c r="J9" s="56" t="s">
        <v>381</v>
      </c>
    </row>
    <row r="10" spans="2:10" s="7" customFormat="1" ht="15" customHeight="1" x14ac:dyDescent="0.25">
      <c r="B10" s="34" t="s">
        <v>30</v>
      </c>
      <c r="C10" s="16">
        <v>0.73</v>
      </c>
      <c r="D10" s="16">
        <v>2.19</v>
      </c>
      <c r="E10" s="16">
        <v>2.92</v>
      </c>
      <c r="F10" s="16">
        <v>11</v>
      </c>
      <c r="G10" s="81">
        <v>12</v>
      </c>
      <c r="H10" s="81">
        <v>735.11</v>
      </c>
      <c r="I10" s="82">
        <v>220533</v>
      </c>
      <c r="J10" s="16" t="s">
        <v>31</v>
      </c>
    </row>
    <row r="11" spans="2:10" s="161" customFormat="1" ht="15" customHeight="1" x14ac:dyDescent="0.25">
      <c r="B11" s="55" t="s">
        <v>3</v>
      </c>
      <c r="C11" s="56">
        <v>0.67</v>
      </c>
      <c r="D11" s="56">
        <v>1.34</v>
      </c>
      <c r="E11" s="56">
        <v>2.68</v>
      </c>
      <c r="F11" s="56">
        <v>4</v>
      </c>
      <c r="G11" s="84">
        <v>0</v>
      </c>
      <c r="H11" s="84">
        <v>107.2</v>
      </c>
      <c r="I11" s="163">
        <v>53600</v>
      </c>
      <c r="J11" s="56" t="s">
        <v>15</v>
      </c>
    </row>
    <row r="12" spans="2:10" s="7" customFormat="1" ht="15" customHeight="1" x14ac:dyDescent="0.25">
      <c r="B12" s="34" t="s">
        <v>365</v>
      </c>
      <c r="C12" s="16">
        <v>0.25</v>
      </c>
      <c r="D12" s="16">
        <v>0.25</v>
      </c>
      <c r="E12" s="16">
        <v>1.25</v>
      </c>
      <c r="F12" s="16">
        <v>4</v>
      </c>
      <c r="G12" s="81">
        <v>3</v>
      </c>
      <c r="H12" s="81">
        <v>225</v>
      </c>
      <c r="I12" s="82">
        <v>67500</v>
      </c>
      <c r="J12" s="16" t="s">
        <v>495</v>
      </c>
    </row>
    <row r="13" spans="2:10" s="161" customFormat="1" ht="15" customHeight="1" x14ac:dyDescent="0.25">
      <c r="B13" s="55" t="s">
        <v>4</v>
      </c>
      <c r="C13" s="56">
        <v>4.26</v>
      </c>
      <c r="D13" s="56">
        <v>10.65</v>
      </c>
      <c r="E13" s="56">
        <v>8.52</v>
      </c>
      <c r="F13" s="56">
        <v>35</v>
      </c>
      <c r="G13" s="84">
        <v>16</v>
      </c>
      <c r="H13" s="84">
        <v>3139.62</v>
      </c>
      <c r="I13" s="163">
        <v>1239660</v>
      </c>
      <c r="J13" s="56" t="s">
        <v>16</v>
      </c>
    </row>
    <row r="14" spans="2:10" s="161" customFormat="1" ht="15" customHeight="1" x14ac:dyDescent="0.25">
      <c r="B14" s="34" t="s">
        <v>5</v>
      </c>
      <c r="C14" s="16">
        <v>0.33</v>
      </c>
      <c r="D14" s="16">
        <v>0.66</v>
      </c>
      <c r="E14" s="16">
        <v>0.66</v>
      </c>
      <c r="F14" s="16">
        <v>1</v>
      </c>
      <c r="G14" s="81">
        <v>2</v>
      </c>
      <c r="H14" s="81">
        <v>257.39999999999998</v>
      </c>
      <c r="I14" s="82">
        <v>205920</v>
      </c>
      <c r="J14" s="16" t="s">
        <v>23</v>
      </c>
    </row>
    <row r="15" spans="2:10" ht="15" customHeight="1" x14ac:dyDescent="0.2">
      <c r="B15" s="55" t="s">
        <v>6</v>
      </c>
      <c r="C15" s="56">
        <v>0.57999999999999996</v>
      </c>
      <c r="D15" s="56">
        <v>1.74</v>
      </c>
      <c r="E15" s="56">
        <v>2.3199999999999998</v>
      </c>
      <c r="F15" s="56">
        <v>9</v>
      </c>
      <c r="G15" s="56">
        <v>2</v>
      </c>
      <c r="H15" s="56">
        <v>174</v>
      </c>
      <c r="I15" s="632">
        <v>60900</v>
      </c>
      <c r="J15" s="56" t="s">
        <v>24</v>
      </c>
    </row>
    <row r="16" spans="2:10" s="161" customFormat="1" ht="15" customHeight="1" x14ac:dyDescent="0.2">
      <c r="B16" s="34" t="s">
        <v>490</v>
      </c>
      <c r="C16" s="16">
        <v>0.42</v>
      </c>
      <c r="D16" s="16">
        <v>0.84</v>
      </c>
      <c r="E16" s="16">
        <v>0.42</v>
      </c>
      <c r="F16" s="16">
        <v>1</v>
      </c>
      <c r="G16" s="16">
        <v>0</v>
      </c>
      <c r="H16" s="16">
        <v>157.5</v>
      </c>
      <c r="I16" s="631">
        <v>47250</v>
      </c>
      <c r="J16" s="16" t="s">
        <v>496</v>
      </c>
    </row>
    <row r="17" spans="2:11" s="315" customFormat="1" ht="15" customHeight="1" thickBot="1" x14ac:dyDescent="0.25">
      <c r="B17" s="55" t="s">
        <v>362</v>
      </c>
      <c r="C17" s="56">
        <v>1</v>
      </c>
      <c r="D17" s="56">
        <v>2.5</v>
      </c>
      <c r="E17" s="56">
        <v>4</v>
      </c>
      <c r="F17" s="56">
        <v>8</v>
      </c>
      <c r="G17" s="56">
        <v>2</v>
      </c>
      <c r="H17" s="56">
        <v>514.5</v>
      </c>
      <c r="I17" s="632">
        <v>182250</v>
      </c>
      <c r="J17" s="56" t="s">
        <v>22</v>
      </c>
    </row>
    <row r="18" spans="2:11" s="367" customFormat="1" ht="16.5" customHeight="1" thickBot="1" x14ac:dyDescent="0.25">
      <c r="B18" s="467" t="s">
        <v>0</v>
      </c>
      <c r="C18" s="468">
        <v>9.1</v>
      </c>
      <c r="D18" s="468">
        <v>22.319999999999997</v>
      </c>
      <c r="E18" s="468">
        <v>24.490000000000002</v>
      </c>
      <c r="F18" s="468">
        <v>77</v>
      </c>
      <c r="G18" s="368">
        <v>37</v>
      </c>
      <c r="H18" s="368">
        <v>5788.49</v>
      </c>
      <c r="I18" s="368">
        <v>2268877</v>
      </c>
      <c r="J18" s="469" t="s">
        <v>1</v>
      </c>
    </row>
    <row r="19" spans="2:11" x14ac:dyDescent="0.2">
      <c r="B19" s="7"/>
      <c r="H19" s="466"/>
      <c r="J19" s="7"/>
      <c r="K19" s="7"/>
    </row>
  </sheetData>
  <mergeCells count="3">
    <mergeCell ref="B1:J1"/>
    <mergeCell ref="B2:J3"/>
    <mergeCell ref="H5:I5"/>
  </mergeCells>
  <phoneticPr fontId="3" type="noConversion"/>
  <printOptions horizontalCentered="1" verticalCentered="1"/>
  <pageMargins left="0.93" right="0.82" top="1.0374015750000001" bottom="0.98425196850393704" header="0.78740157480314998" footer="0.511811023622047"/>
  <pageSetup orientation="landscape" verticalDpi="300" r:id="rId1"/>
  <headerFooter alignWithMargins="0">
    <oddFooter>&amp;C16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20"/>
  <sheetViews>
    <sheetView rightToLeft="1" topLeftCell="B1" zoomScaleSheetLayoutView="100" workbookViewId="0">
      <selection activeCell="B19" sqref="B19:I20"/>
    </sheetView>
  </sheetViews>
  <sheetFormatPr defaultRowHeight="12.75" x14ac:dyDescent="0.2"/>
  <cols>
    <col min="1" max="1" width="1.85546875" hidden="1" customWidth="1"/>
    <col min="2" max="2" width="14.5703125" customWidth="1"/>
    <col min="3" max="3" width="11" customWidth="1"/>
    <col min="4" max="4" width="11" style="7" customWidth="1"/>
    <col min="5" max="5" width="11.7109375" style="329" customWidth="1"/>
    <col min="6" max="7" width="16.42578125" customWidth="1"/>
    <col min="8" max="8" width="19.28515625" customWidth="1"/>
    <col min="9" max="9" width="15.5703125" customWidth="1"/>
    <col min="10" max="10" width="2" customWidth="1"/>
  </cols>
  <sheetData>
    <row r="1" spans="1:10" ht="15" x14ac:dyDescent="0.25">
      <c r="A1" s="19"/>
      <c r="B1" s="850" t="s">
        <v>451</v>
      </c>
      <c r="C1" s="850"/>
      <c r="D1" s="850"/>
      <c r="E1" s="850"/>
      <c r="F1" s="850"/>
      <c r="G1" s="850"/>
      <c r="H1" s="850"/>
      <c r="I1" s="850"/>
    </row>
    <row r="2" spans="1:10" ht="15" customHeight="1" x14ac:dyDescent="0.25">
      <c r="A2" s="19"/>
      <c r="B2" s="871" t="s">
        <v>452</v>
      </c>
      <c r="C2" s="871"/>
      <c r="D2" s="871"/>
      <c r="E2" s="871"/>
      <c r="F2" s="871"/>
      <c r="G2" s="871"/>
      <c r="H2" s="871"/>
      <c r="I2" s="871"/>
    </row>
    <row r="3" spans="1:10" ht="16.5" customHeight="1" x14ac:dyDescent="0.25">
      <c r="A3" s="19"/>
      <c r="B3" s="871"/>
      <c r="C3" s="871"/>
      <c r="D3" s="871"/>
      <c r="E3" s="871"/>
      <c r="F3" s="871"/>
      <c r="G3" s="871"/>
      <c r="H3" s="871"/>
      <c r="I3" s="871"/>
    </row>
    <row r="4" spans="1:10" s="7" customFormat="1" ht="16.5" customHeight="1" x14ac:dyDescent="0.25">
      <c r="A4" s="19"/>
      <c r="B4" s="223"/>
      <c r="C4" s="223"/>
      <c r="D4" s="626"/>
      <c r="E4" s="327"/>
      <c r="F4" s="223"/>
      <c r="G4" s="223"/>
      <c r="H4" s="873" t="s">
        <v>215</v>
      </c>
      <c r="I4" s="873"/>
      <c r="J4" s="232"/>
    </row>
    <row r="5" spans="1:10" ht="15" customHeight="1" thickBot="1" x14ac:dyDescent="0.3">
      <c r="A5" s="19"/>
      <c r="B5" s="872" t="s">
        <v>501</v>
      </c>
      <c r="C5" s="872"/>
      <c r="D5" s="627"/>
      <c r="E5" s="51"/>
      <c r="F5" s="19"/>
      <c r="G5" s="866" t="s">
        <v>149</v>
      </c>
      <c r="H5" s="866"/>
      <c r="I5" s="51" t="s">
        <v>186</v>
      </c>
    </row>
    <row r="6" spans="1:10" ht="34.5" customHeight="1" x14ac:dyDescent="0.25">
      <c r="A6" s="19"/>
      <c r="B6" s="39"/>
      <c r="C6" s="65" t="s">
        <v>118</v>
      </c>
      <c r="D6" s="336" t="s">
        <v>492</v>
      </c>
      <c r="E6" s="318" t="s">
        <v>383</v>
      </c>
      <c r="F6" s="65" t="s">
        <v>119</v>
      </c>
      <c r="G6" s="65" t="s">
        <v>81</v>
      </c>
      <c r="H6" s="653" t="s">
        <v>129</v>
      </c>
      <c r="I6" s="39"/>
    </row>
    <row r="7" spans="1:10" ht="30.75" customHeight="1" x14ac:dyDescent="0.25">
      <c r="A7" s="42"/>
      <c r="B7" s="19"/>
      <c r="C7" s="335" t="s">
        <v>305</v>
      </c>
      <c r="D7" s="335"/>
      <c r="E7" s="326"/>
      <c r="F7" s="335" t="s">
        <v>143</v>
      </c>
      <c r="G7" s="47" t="s">
        <v>142</v>
      </c>
      <c r="H7" s="654" t="s">
        <v>139</v>
      </c>
      <c r="I7" s="19"/>
    </row>
    <row r="8" spans="1:10" ht="24" customHeight="1" thickBot="1" x14ac:dyDescent="0.25">
      <c r="A8" s="870" t="s">
        <v>54</v>
      </c>
      <c r="B8" s="870"/>
      <c r="C8" s="58" t="s">
        <v>133</v>
      </c>
      <c r="D8" s="628" t="s">
        <v>500</v>
      </c>
      <c r="E8" s="658" t="s">
        <v>500</v>
      </c>
      <c r="F8" s="58" t="s">
        <v>132</v>
      </c>
      <c r="G8" s="58" t="s">
        <v>132</v>
      </c>
      <c r="H8" s="58"/>
      <c r="I8" s="62" t="s">
        <v>26</v>
      </c>
    </row>
    <row r="9" spans="1:10" s="313" customFormat="1" ht="15" customHeight="1" thickTop="1" x14ac:dyDescent="0.25">
      <c r="A9" s="312"/>
      <c r="B9" s="478" t="s">
        <v>380</v>
      </c>
      <c r="C9" s="479">
        <v>1</v>
      </c>
      <c r="D9" s="479">
        <v>0</v>
      </c>
      <c r="E9" s="507">
        <v>2</v>
      </c>
      <c r="F9" s="479">
        <v>1601</v>
      </c>
      <c r="G9" s="479">
        <v>963</v>
      </c>
      <c r="H9" s="480">
        <v>576592</v>
      </c>
      <c r="I9" s="487" t="s">
        <v>381</v>
      </c>
    </row>
    <row r="10" spans="1:10" s="313" customFormat="1" ht="15" customHeight="1" x14ac:dyDescent="0.25">
      <c r="A10" s="312"/>
      <c r="B10" s="640" t="s">
        <v>30</v>
      </c>
      <c r="C10" s="85">
        <v>1</v>
      </c>
      <c r="D10" s="85">
        <v>0</v>
      </c>
      <c r="E10" s="181">
        <v>0</v>
      </c>
      <c r="F10" s="85">
        <v>1283</v>
      </c>
      <c r="G10" s="85">
        <v>1710.6666666666699</v>
      </c>
      <c r="H10" s="82">
        <v>317250</v>
      </c>
      <c r="I10" s="647" t="s">
        <v>31</v>
      </c>
    </row>
    <row r="11" spans="1:10" s="313" customFormat="1" ht="15" customHeight="1" x14ac:dyDescent="0.25">
      <c r="A11" s="312"/>
      <c r="B11" s="478" t="s">
        <v>3</v>
      </c>
      <c r="C11" s="479">
        <v>1</v>
      </c>
      <c r="D11" s="479">
        <v>0</v>
      </c>
      <c r="E11" s="507">
        <v>1</v>
      </c>
      <c r="F11" s="479">
        <v>331</v>
      </c>
      <c r="G11" s="479">
        <v>432</v>
      </c>
      <c r="H11" s="480">
        <v>82755</v>
      </c>
      <c r="I11" s="487" t="s">
        <v>15</v>
      </c>
    </row>
    <row r="12" spans="1:10" s="313" customFormat="1" ht="15" customHeight="1" x14ac:dyDescent="0.25">
      <c r="A12" s="312"/>
      <c r="B12" s="640" t="s">
        <v>4</v>
      </c>
      <c r="C12" s="85">
        <v>4</v>
      </c>
      <c r="D12" s="85">
        <v>1</v>
      </c>
      <c r="E12" s="181">
        <v>1</v>
      </c>
      <c r="F12" s="85">
        <v>5497</v>
      </c>
      <c r="G12" s="85">
        <v>5379</v>
      </c>
      <c r="H12" s="82">
        <v>2390400</v>
      </c>
      <c r="I12" s="181" t="s">
        <v>16</v>
      </c>
    </row>
    <row r="13" spans="1:10" s="313" customFormat="1" ht="15" customHeight="1" x14ac:dyDescent="0.25">
      <c r="A13" s="312"/>
      <c r="B13" s="478" t="s">
        <v>5</v>
      </c>
      <c r="C13" s="479">
        <v>0</v>
      </c>
      <c r="D13" s="479">
        <v>0</v>
      </c>
      <c r="E13" s="507">
        <v>0</v>
      </c>
      <c r="F13" s="479">
        <v>34</v>
      </c>
      <c r="G13" s="479">
        <v>34</v>
      </c>
      <c r="H13" s="480">
        <v>10197</v>
      </c>
      <c r="I13" s="507" t="s">
        <v>23</v>
      </c>
    </row>
    <row r="14" spans="1:10" s="313" customFormat="1" ht="15" customHeight="1" x14ac:dyDescent="0.25">
      <c r="A14" s="312"/>
      <c r="B14" s="640" t="s">
        <v>6</v>
      </c>
      <c r="C14" s="85">
        <v>4</v>
      </c>
      <c r="D14" s="85">
        <v>0</v>
      </c>
      <c r="E14" s="181">
        <v>0</v>
      </c>
      <c r="F14" s="85">
        <v>1809</v>
      </c>
      <c r="G14" s="85">
        <v>2983</v>
      </c>
      <c r="H14" s="82">
        <v>510648</v>
      </c>
      <c r="I14" s="181" t="s">
        <v>24</v>
      </c>
    </row>
    <row r="15" spans="1:10" s="313" customFormat="1" ht="15" customHeight="1" x14ac:dyDescent="0.25">
      <c r="A15" s="312"/>
      <c r="B15" s="478" t="s">
        <v>491</v>
      </c>
      <c r="C15" s="479">
        <v>1</v>
      </c>
      <c r="D15" s="479">
        <v>0</v>
      </c>
      <c r="E15" s="507">
        <v>0</v>
      </c>
      <c r="F15" s="479">
        <v>390</v>
      </c>
      <c r="G15" s="479">
        <v>5012</v>
      </c>
      <c r="H15" s="480">
        <v>422370</v>
      </c>
      <c r="I15" s="507" t="s">
        <v>18</v>
      </c>
    </row>
    <row r="16" spans="1:10" s="313" customFormat="1" ht="15" customHeight="1" thickBot="1" x14ac:dyDescent="0.3">
      <c r="A16" s="312"/>
      <c r="B16" s="640" t="s">
        <v>13</v>
      </c>
      <c r="C16" s="85">
        <v>0</v>
      </c>
      <c r="D16" s="85">
        <v>0</v>
      </c>
      <c r="E16" s="181">
        <v>0</v>
      </c>
      <c r="F16" s="85">
        <v>495</v>
      </c>
      <c r="G16" s="85">
        <v>1027</v>
      </c>
      <c r="H16" s="82">
        <v>197800</v>
      </c>
      <c r="I16" s="181" t="s">
        <v>22</v>
      </c>
    </row>
    <row r="17" spans="1:9" s="313" customFormat="1" ht="17.25" customHeight="1" thickBot="1" x14ac:dyDescent="0.25">
      <c r="A17" s="512"/>
      <c r="B17" s="513" t="s">
        <v>0</v>
      </c>
      <c r="C17" s="514">
        <f t="shared" ref="C17:H17" si="0">SUM(C9:C16)</f>
        <v>12</v>
      </c>
      <c r="D17" s="514">
        <f t="shared" si="0"/>
        <v>1</v>
      </c>
      <c r="E17" s="514">
        <f t="shared" si="0"/>
        <v>4</v>
      </c>
      <c r="F17" s="514">
        <f t="shared" si="0"/>
        <v>11440</v>
      </c>
      <c r="G17" s="514">
        <f t="shared" si="0"/>
        <v>17540.666666666672</v>
      </c>
      <c r="H17" s="514">
        <f t="shared" si="0"/>
        <v>4508012</v>
      </c>
      <c r="I17" s="515" t="s">
        <v>1</v>
      </c>
    </row>
    <row r="18" spans="1:9" ht="13.5" thickTop="1" x14ac:dyDescent="0.2">
      <c r="B18" s="473" t="s">
        <v>508</v>
      </c>
      <c r="C18" s="473"/>
      <c r="D18" s="473"/>
      <c r="E18" s="473"/>
      <c r="F18" s="473"/>
      <c r="G18" s="473"/>
    </row>
    <row r="19" spans="1:9" ht="14.25" customHeight="1" x14ac:dyDescent="0.2">
      <c r="B19" s="869"/>
      <c r="C19" s="844"/>
      <c r="D19" s="844"/>
      <c r="E19" s="844"/>
      <c r="F19" s="844"/>
      <c r="G19" s="844"/>
      <c r="H19" s="844"/>
      <c r="I19" s="844"/>
    </row>
    <row r="20" spans="1:9" x14ac:dyDescent="0.2">
      <c r="B20" s="844"/>
      <c r="C20" s="844"/>
      <c r="D20" s="844"/>
      <c r="E20" s="844"/>
      <c r="F20" s="844"/>
      <c r="G20" s="844"/>
      <c r="H20" s="844"/>
      <c r="I20" s="844"/>
    </row>
  </sheetData>
  <mergeCells count="7">
    <mergeCell ref="B19:I20"/>
    <mergeCell ref="A8:B8"/>
    <mergeCell ref="B1:I1"/>
    <mergeCell ref="B2:I3"/>
    <mergeCell ref="B5:C5"/>
    <mergeCell ref="H4:I4"/>
    <mergeCell ref="G5:H5"/>
  </mergeCells>
  <phoneticPr fontId="3" type="noConversion"/>
  <printOptions horizontalCentered="1" verticalCentered="1"/>
  <pageMargins left="0.66666666666666663" right="1.02" top="1.0374015750000001" bottom="0.98425196850393704" header="0.78740157480314998" footer="0.511811023622047"/>
  <pageSetup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4</vt:i4>
      </vt:variant>
    </vt:vector>
  </HeadingPairs>
  <TitlesOfParts>
    <vt:vector size="48" baseType="lpstr">
      <vt:lpstr>الكلفه  للسنوات</vt:lpstr>
      <vt:lpstr>مؤشرات</vt:lpstr>
      <vt:lpstr>مخطط المؤشرات</vt:lpstr>
      <vt:lpstr>دور السكن ج</vt:lpstr>
      <vt:lpstr>دور السكن م</vt:lpstr>
      <vt:lpstr>عمارات سكنيه ج و م</vt:lpstr>
      <vt:lpstr>عمارات تجاريه ج</vt:lpstr>
      <vt:lpstr>عمارات تجاريه م</vt:lpstr>
      <vt:lpstr>ابنيه صناعيه ج</vt:lpstr>
      <vt:lpstr>صناعي اضافة</vt:lpstr>
      <vt:lpstr>ابنيه تجاريه ج</vt:lpstr>
      <vt:lpstr>ابنيه تجاريه م</vt:lpstr>
      <vt:lpstr>ابنيه اجتماعيه ج</vt:lpstr>
      <vt:lpstr>ابنيه اجتماعيه م</vt:lpstr>
      <vt:lpstr>العاملين</vt:lpstr>
      <vt:lpstr>مخطط العاملين</vt:lpstr>
      <vt:lpstr>طابوق</vt:lpstr>
      <vt:lpstr>بلوك</vt:lpstr>
      <vt:lpstr>مخطط الطابوق والبلوك</vt:lpstr>
      <vt:lpstr>حجر</vt:lpstr>
      <vt:lpstr>حصى</vt:lpstr>
      <vt:lpstr>رمل</vt:lpstr>
      <vt:lpstr>مخطط الحصى</vt:lpstr>
      <vt:lpstr>سمنت</vt:lpstr>
      <vt:lpstr>جص</vt:lpstr>
      <vt:lpstr>مخطط الجص والاسمنت</vt:lpstr>
      <vt:lpstr>كاشي</vt:lpstr>
      <vt:lpstr>كاشي2</vt:lpstr>
      <vt:lpstr>مخطط الكاشي</vt:lpstr>
      <vt:lpstr>حديد</vt:lpstr>
      <vt:lpstr>ابواب</vt:lpstr>
      <vt:lpstr>شبابيك</vt:lpstr>
      <vt:lpstr>ت.كهربائيه1</vt:lpstr>
      <vt:lpstr>ت.كهربائيه2</vt:lpstr>
      <vt:lpstr>ت.صحيه1</vt:lpstr>
      <vt:lpstr>ت.صحيه2</vt:lpstr>
      <vt:lpstr>ت.صحيه3</vt:lpstr>
      <vt:lpstr>مواد انشائيه1</vt:lpstr>
      <vt:lpstr>مواد انشائيه2</vt:lpstr>
      <vt:lpstr>مواد انشائيه3</vt:lpstr>
      <vt:lpstr>مواد انشائيه4</vt:lpstr>
      <vt:lpstr>الكلفه الكليه</vt:lpstr>
      <vt:lpstr>Sheet3</vt:lpstr>
      <vt:lpstr>Sheet1</vt:lpstr>
      <vt:lpstr>'عمارات تجاريه ج'!Print_Area</vt:lpstr>
      <vt:lpstr>'عمارات تجاريه م'!Print_Area</vt:lpstr>
      <vt:lpstr>'مخطط الطابوق والبلوك'!Print_Area</vt:lpstr>
      <vt:lpstr>'مواد انشائيه4'!Print_Area</vt:lpstr>
    </vt:vector>
  </TitlesOfParts>
  <Company>mm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Ali Jaber</cp:lastModifiedBy>
  <cp:lastPrinted>2020-11-19T05:52:45Z</cp:lastPrinted>
  <dcterms:created xsi:type="dcterms:W3CDTF">2008-12-28T17:21:03Z</dcterms:created>
  <dcterms:modified xsi:type="dcterms:W3CDTF">2020-11-19T05:53:10Z</dcterms:modified>
</cp:coreProperties>
</file>